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00" windowWidth="15330" windowHeight="4560" tabRatio="807" firstSheet="1" activeTab="11"/>
  </bookViews>
  <sheets>
    <sheet name="5. Заг" sheetId="1" r:id="rId1"/>
    <sheet name="5.І. Ел м" sheetId="2" r:id="rId2"/>
    <sheet name="5.І.І. Обсяги робіт" sheetId="3" r:id="rId3"/>
    <sheet name="5.II. Зниж" sheetId="4" r:id="rId4"/>
    <sheet name="5.III. АСДТК" sheetId="5" r:id="rId5"/>
    <sheet name="5.ІІІ.1 " sheetId="6" r:id="rId6"/>
    <sheet name="5.ІV. Інф" sheetId="7" r:id="rId7"/>
    <sheet name="5.V. Зв'яз" sheetId="8" r:id="rId8"/>
    <sheet name="5.V. 1 " sheetId="9" r:id="rId9"/>
    <sheet name="5.VI. Тран" sheetId="10" r:id="rId10"/>
    <sheet name="5.VIІ. Інше" sheetId="11" r:id="rId11"/>
    <sheet name="6. Пров закупівлі" sheetId="12" r:id="rId12"/>
  </sheets>
  <definedNames>
    <definedName name="_xlnm.Print_Titles" localSheetId="11">'6. Пров закупівлі'!$8:$12</definedName>
    <definedName name="_xlnm.Print_Area" localSheetId="2">'5.І.І. Обсяги робіт'!$A$1:$J$229</definedName>
    <definedName name="_xlnm.Print_Area" localSheetId="6">'5.ІV. Інф'!$A$1:$L$23</definedName>
    <definedName name="_xlnm.Print_Area" localSheetId="11">'6. Пров закупівлі'!$A$2:$S$241</definedName>
  </definedNames>
  <calcPr fullCalcOnLoad="1"/>
</workbook>
</file>

<file path=xl/comments12.xml><?xml version="1.0" encoding="utf-8"?>
<comments xmlns="http://schemas.openxmlformats.org/spreadsheetml/2006/main">
  <authors>
    <author>Левченко Ольга Олексiївна</author>
    <author>User</author>
  </authors>
  <commentList>
    <comment ref="E56" authorId="0">
      <text>
        <r>
          <rPr>
            <b/>
            <sz val="8"/>
            <rFont val="Tahoma"/>
            <family val="2"/>
          </rPr>
          <t xml:space="preserve">Левченко Ольга Олексiївна:
</t>
        </r>
        <r>
          <rPr>
            <sz val="8"/>
            <rFont val="Tahoma"/>
            <family val="2"/>
          </rPr>
          <t xml:space="preserve">Бобровица Т-2
</t>
        </r>
      </text>
    </comment>
    <comment ref="E5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Бобровиця Т-1
</t>
        </r>
      </text>
    </comment>
    <comment ref="E58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Прилуки Т-2
Подусівка Т-1
Подусівка Т-2</t>
        </r>
      </text>
    </comment>
    <comment ref="E6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Центральна Т-1
</t>
        </r>
      </text>
    </comment>
    <comment ref="E6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Любеч Т-1</t>
        </r>
      </text>
    </comment>
  </commentList>
</comments>
</file>

<file path=xl/sharedStrings.xml><?xml version="1.0" encoding="utf-8"?>
<sst xmlns="http://schemas.openxmlformats.org/spreadsheetml/2006/main" count="1600" uniqueCount="803">
  <si>
    <t>Комплекс робіт по підвищенню категорії надійності електропостачання адміністративних приміщень центральної частини м. Чернігів</t>
  </si>
  <si>
    <t>Реконструкція ПЛ-0,4 кВ  с. Оболоння</t>
  </si>
  <si>
    <t>Реконструкція ПЛ-0,4 кВ  с. Ст.Білоус</t>
  </si>
  <si>
    <t>Реконструкція ПЛ-0,4 кВ  с. Араповичі</t>
  </si>
  <si>
    <t>Реконструкція ПЛ-0,4 кВ  с. Дробишів</t>
  </si>
  <si>
    <t>Реконструкція ПЛ-0,4 кВ  с. Чулатово</t>
  </si>
  <si>
    <t>4.6</t>
  </si>
  <si>
    <t>4.7</t>
  </si>
  <si>
    <t>4.8</t>
  </si>
  <si>
    <t>4.9</t>
  </si>
  <si>
    <t>4.10</t>
  </si>
  <si>
    <t>1.1.4.2</t>
  </si>
  <si>
    <t>Закінчення реконструкції ПС 35/10 "Ялівщина" (підрядний спосіб) шумозахисні заходи</t>
  </si>
  <si>
    <t>Всього І.1.4.2</t>
  </si>
  <si>
    <t>Всього І.1.4</t>
  </si>
  <si>
    <t>Модернізація релейного захисту підстанційних елементів ВРП - 110 кВ ПС 110/35/10 кВ "Прилуки" (другий етап)</t>
  </si>
  <si>
    <t xml:space="preserve">трансформатор ТМН - 2500/35 УХЛ1 </t>
  </si>
  <si>
    <t>Вимикач серії ВА-5543 1600 А з електромагнітним приводом</t>
  </si>
  <si>
    <t>Всього І.1.5.3</t>
  </si>
  <si>
    <t>Всього І.1.5</t>
  </si>
  <si>
    <t>Реконструкція  ПС 110/10 "Лісковиця"</t>
  </si>
  <si>
    <t>Погодження технічних умов на будівництво ПЛ 0,4-110 кВ</t>
  </si>
  <si>
    <t>ІІ.2.6</t>
  </si>
  <si>
    <t>Індикатор працездатності схем обліку ІПСО 10 кВт</t>
  </si>
  <si>
    <t>ІІ.2.7</t>
  </si>
  <si>
    <t>Індикатор електричного поля типу  ИЭП-Е121 (Дятел)</t>
  </si>
  <si>
    <t>ІІ.2.8</t>
  </si>
  <si>
    <t>Безконтактний вимірювач струму, типу ПСБ-03 ТМ</t>
  </si>
  <si>
    <t>Модем Tainet DT-128</t>
  </si>
  <si>
    <t>Модуль Tainet RS-232</t>
  </si>
  <si>
    <t>ДБЖ APC Back-UPS 500VA</t>
  </si>
  <si>
    <t>Персональний комп'ютер переносний</t>
  </si>
  <si>
    <t>Персональний комп'ютер стаціонарний</t>
  </si>
  <si>
    <t>Багатофункціональний пристрій (принтер-копір-сканер) для робочих груп  формат A5</t>
  </si>
  <si>
    <t>MS Windows Server 2008 на 200 користувачів</t>
  </si>
  <si>
    <t>Ліцензії користувачів термінального сервера</t>
  </si>
  <si>
    <t>Радіовежа</t>
  </si>
  <si>
    <t>Проект системи гарантованого електроживлення</t>
  </si>
  <si>
    <t xml:space="preserve">Цифрові регістратори мови на 6 аналогових каналів </t>
  </si>
  <si>
    <t xml:space="preserve">Цифрові регістратори мови на 6 аналогових та 2 цифрових каналів </t>
  </si>
  <si>
    <t>Автопідіймач АР-1804 на базі ГАЗ 3309.354</t>
  </si>
  <si>
    <t>ЕТЛ-10 на базі автомобіля "Газель"</t>
  </si>
  <si>
    <t>Проектні роботи  по реконструкції диспетчерської для Чернігівських МЕМ</t>
  </si>
  <si>
    <t>Проектні роботи  на спорудження нового приміщення для служби засобів обліку електричної енергії</t>
  </si>
  <si>
    <t>Калібратор термометрів манометричний (термостат) на базі ВЛАНТ-20</t>
  </si>
  <si>
    <t>20646</t>
  </si>
  <si>
    <t>Заміна трансформатора типу ТМН - 2500/35 УХЛ1 на підстанції Любеч</t>
  </si>
  <si>
    <t>10.3.2</t>
  </si>
  <si>
    <t>Заміна застарілих вимикачів на нові типу ВА</t>
  </si>
  <si>
    <t xml:space="preserve">ТП-523 вимикач серії ВА-53-43 1600А </t>
  </si>
  <si>
    <t>№268 від 19.08.2010</t>
  </si>
  <si>
    <t>№61 від 30.05.2011</t>
  </si>
  <si>
    <t>№60 від 30.05.2011</t>
  </si>
  <si>
    <t>№62 від 30.05.2011</t>
  </si>
  <si>
    <t>підряд</t>
  </si>
  <si>
    <t>№407 від 10.11.2008</t>
  </si>
  <si>
    <t>№267 від 19.08.2010</t>
  </si>
  <si>
    <t>9.3.6</t>
  </si>
  <si>
    <t>12.1</t>
  </si>
  <si>
    <t>реконструкція, усього</t>
  </si>
  <si>
    <t>ПЛ-110 (150) кВ, усього</t>
  </si>
  <si>
    <t>будівництво, усього</t>
  </si>
  <si>
    <t>ПЛ-35 кВ, усього</t>
  </si>
  <si>
    <t>ПЛ-6 (10) кВ, усього</t>
  </si>
  <si>
    <t>ПЛ-0,4 кВ, усього</t>
  </si>
  <si>
    <t>4.1.1.1</t>
  </si>
  <si>
    <t>КЛ-35 кВ, усього</t>
  </si>
  <si>
    <t>6.2.1</t>
  </si>
  <si>
    <t>КЛ-6 (10) кВ, усього</t>
  </si>
  <si>
    <t>ПС з вищим класом напруги 110 (150) кВ, усього</t>
  </si>
  <si>
    <t>модернізація, усього</t>
  </si>
  <si>
    <t>ПС з вищим класом напруги 35 кВ, усього</t>
  </si>
  <si>
    <t>ТП, РП-6 (10) кВ, усього</t>
  </si>
  <si>
    <t>11.2.1</t>
  </si>
  <si>
    <t>2.4</t>
  </si>
  <si>
    <t>2.5</t>
  </si>
  <si>
    <t>Директор технічний</t>
  </si>
  <si>
    <t>О.І. Коломієць</t>
  </si>
  <si>
    <t>7.1.1</t>
  </si>
  <si>
    <t>4.2.6</t>
  </si>
  <si>
    <t>4.2.7</t>
  </si>
  <si>
    <t>4.2.8</t>
  </si>
  <si>
    <t>4.2.9</t>
  </si>
  <si>
    <t>4.2.10</t>
  </si>
  <si>
    <t>7.2.2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</si>
  <si>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</si>
  <si>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</si>
  <si>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</si>
  <si>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</si>
  <si>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</si>
  <si>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</si>
  <si>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</si>
  <si>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</si>
  <si>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</si>
  <si>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</si>
  <si>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</si>
  <si>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Автотранспортний парк</t>
  </si>
  <si>
    <t>Всього І.1.2</t>
  </si>
  <si>
    <t>Проектні роботи для будівництва та рек. ПС та ПЛ</t>
  </si>
  <si>
    <t>Разом по розділу I</t>
  </si>
  <si>
    <t>Покращення обліку електроенергії у т.ч.:</t>
  </si>
  <si>
    <t>ІІ.1.3</t>
  </si>
  <si>
    <t>Впровадження обліку споживання електроенергії населенням, у т.ч.:</t>
  </si>
  <si>
    <t>Інше (Капітальне будівництво)</t>
  </si>
  <si>
    <t>Організація останньої милі</t>
  </si>
  <si>
    <t>Формування RTU560</t>
  </si>
  <si>
    <t>Всього по сільським</t>
  </si>
  <si>
    <t>Всього по міським</t>
  </si>
  <si>
    <t>Всього ІІ.1.4</t>
  </si>
  <si>
    <t>Всього ІІ.1</t>
  </si>
  <si>
    <t>Всього ІІ.2</t>
  </si>
  <si>
    <t>Разом по розділу IІ</t>
  </si>
  <si>
    <t>IІІ</t>
  </si>
  <si>
    <t>IІІ.1</t>
  </si>
  <si>
    <t>ВАТ ЕК "Чернігівобленерго"</t>
  </si>
  <si>
    <t>10 кВ</t>
  </si>
  <si>
    <t>11.3.8</t>
  </si>
  <si>
    <t>11.3.48</t>
  </si>
  <si>
    <t>11.3.58</t>
  </si>
  <si>
    <t>11.3.59</t>
  </si>
  <si>
    <t>ст. 4</t>
  </si>
  <si>
    <t>ст. 5</t>
  </si>
  <si>
    <t>ст. 6</t>
  </si>
  <si>
    <t>ст.8</t>
  </si>
  <si>
    <t>ст. 9</t>
  </si>
  <si>
    <t>ст. 14</t>
  </si>
  <si>
    <t>ст. 15</t>
  </si>
  <si>
    <t>ст. 16</t>
  </si>
  <si>
    <t>ст. 17</t>
  </si>
  <si>
    <t>ст.  18</t>
  </si>
  <si>
    <t>ст. 19</t>
  </si>
  <si>
    <t>ст. 29</t>
  </si>
  <si>
    <t>ст. 30</t>
  </si>
  <si>
    <t>ст. 33</t>
  </si>
  <si>
    <t>ст. 36</t>
  </si>
  <si>
    <t>ст. 38</t>
  </si>
  <si>
    <t>ст. 43</t>
  </si>
  <si>
    <t>ст. 44</t>
  </si>
  <si>
    <t>ст. 50</t>
  </si>
  <si>
    <t>ст. 53</t>
  </si>
  <si>
    <t>ст. 56</t>
  </si>
  <si>
    <t>ст. 66</t>
  </si>
  <si>
    <t>ст. 85</t>
  </si>
  <si>
    <t>ст.25</t>
  </si>
  <si>
    <t>6-20 кВ</t>
  </si>
  <si>
    <t>І.1.1.4.1</t>
  </si>
  <si>
    <t>І.1.2.4.1</t>
  </si>
  <si>
    <t>Спосіб виконання робіт (підрядний/ господарський)</t>
  </si>
  <si>
    <t>І. Будівництво, модернізація та реконструкція електричних мереж та обладнання</t>
  </si>
  <si>
    <t>Найменування відповідної державної програми</t>
  </si>
  <si>
    <t>—</t>
  </si>
  <si>
    <t>_________________</t>
  </si>
  <si>
    <t>(підпис)</t>
  </si>
  <si>
    <t xml:space="preserve">    "____" ____________ 20___ року</t>
  </si>
  <si>
    <t>разница</t>
  </si>
  <si>
    <t>надо</t>
  </si>
  <si>
    <t>5.І.І. Обсяги будівництва, реконструкції та модернізації об'єктів електричних мереж на прогнозний період</t>
  </si>
  <si>
    <t>Інвентарний номер енергооб'єкта</t>
  </si>
  <si>
    <t>Найменування енергооб'єкта, його місцезнаходження та потужність</t>
  </si>
  <si>
    <t>Рік попередньої реконструкції</t>
  </si>
  <si>
    <t>Реконструкція ПЛ 35 кВ "Бобровиця-Петрівське"  (підрядний спосіб).</t>
  </si>
  <si>
    <t>Базова станція передачі даних MDS 4710 з монтажними та пусконалагоджувальними роботами</t>
  </si>
  <si>
    <t>Абонентська станція передачі даних MDS 4710 з монтажними та пусконалагоджувальними роботами</t>
  </si>
  <si>
    <t>АП-18-09 на базі ГАЗ-3309 (кабіна на 5 місць, дизельний двигун)</t>
  </si>
  <si>
    <t>ст. 88</t>
  </si>
  <si>
    <t>ст. 95</t>
  </si>
  <si>
    <t>Проекти прольоту РРЛ</t>
  </si>
  <si>
    <t>Кабельний перехід між опорами №12 та №13 Л-10 кВ "Халимоново" (кабель ААБЛ 3х120)</t>
  </si>
  <si>
    <t>капіталовкладення,
тис. грн (з ПДВ)</t>
  </si>
  <si>
    <t>1.2.1</t>
  </si>
  <si>
    <t>4.1.2</t>
  </si>
  <si>
    <t>4.1.2.1</t>
  </si>
  <si>
    <t>6.1.1</t>
  </si>
  <si>
    <t>9.2.1</t>
  </si>
  <si>
    <t>10.1.1</t>
  </si>
  <si>
    <t>5.III.1. Етапи впровадження  АСДТК</t>
  </si>
  <si>
    <t>№</t>
  </si>
  <si>
    <t>Найменування ділянок (об'єктів), на яких реалізується Проект</t>
  </si>
  <si>
    <t>Період реалізації Проекту</t>
  </si>
  <si>
    <t>Вартість реалізації Проекту відповідно до проектно-кошторисної документації</t>
  </si>
  <si>
    <t xml:space="preserve">Фактичне фінансування реалізації Проекту станом на початок базового періоду  </t>
  </si>
  <si>
    <t xml:space="preserve">Фінансування реалізації Проекту, перебдачене Інвестиційною програмою на базовий період  </t>
  </si>
  <si>
    <t xml:space="preserve">Фінансування, передбачене на реалізацію Проекту Інвестиційною програмою на прогнозний пеіод </t>
  </si>
  <si>
    <t>Сума коштів, необхідна для завершення реалізації Проекту з розбивкою по роках</t>
  </si>
  <si>
    <t>тис. грн.</t>
  </si>
  <si>
    <t>Всього V.1.2</t>
  </si>
  <si>
    <t>Обсяги робіт та капіталовкладень
ПЛ, КЛ / ПС</t>
  </si>
  <si>
    <t>6.1</t>
  </si>
  <si>
    <t>6.2</t>
  </si>
  <si>
    <t xml:space="preserve">Телемеханіка ПС                                                      </t>
  </si>
  <si>
    <t>ІV квартал</t>
  </si>
  <si>
    <t>5.І. Будівництво, модернізація та реконструкція електричних мереж та обладнання</t>
  </si>
  <si>
    <t>Заміна трансформатора Т-2 типу ТДТН 10000/110 УХЛ1 на підстанції Бобровиця</t>
  </si>
  <si>
    <t>10кВ</t>
  </si>
  <si>
    <t>12</t>
  </si>
  <si>
    <t>13</t>
  </si>
  <si>
    <t>14</t>
  </si>
  <si>
    <t>15</t>
  </si>
  <si>
    <t>17</t>
  </si>
  <si>
    <t>18</t>
  </si>
  <si>
    <t>новая разбивка</t>
  </si>
  <si>
    <t xml:space="preserve">Всього </t>
  </si>
  <si>
    <t xml:space="preserve">Голова правління </t>
  </si>
  <si>
    <t>Директор фінансовий</t>
  </si>
  <si>
    <t>Р.В. Стройний</t>
  </si>
  <si>
    <t>ст. 71</t>
  </si>
  <si>
    <t>ст. 78</t>
  </si>
  <si>
    <t>Придбання та впровадження засобів диспетчерського технологічного управління замість морально і фізично зношених та для розширення існуючих, у т.ч.:</t>
  </si>
  <si>
    <t>IІІ.1.1</t>
  </si>
  <si>
    <t>система керування  і отримання даних</t>
  </si>
  <si>
    <t>Всього IІІ.1.1</t>
  </si>
  <si>
    <t>IІІ.1.2</t>
  </si>
  <si>
    <t>5</t>
  </si>
  <si>
    <t>6</t>
  </si>
  <si>
    <t>Всього IІІ.1.2</t>
  </si>
  <si>
    <t>Всього IІІ.1</t>
  </si>
  <si>
    <t>IІІ.2</t>
  </si>
  <si>
    <t>Всього IІІ.2</t>
  </si>
  <si>
    <t>Разом по розділу III</t>
  </si>
  <si>
    <t>Всього ІV.1.1</t>
  </si>
  <si>
    <t>Інші засоби комп'ютеризації</t>
  </si>
  <si>
    <t>Всього ІV.1.4</t>
  </si>
  <si>
    <t>комп.</t>
  </si>
  <si>
    <t>Всього ІV.2</t>
  </si>
  <si>
    <t>Всього ІV.1</t>
  </si>
  <si>
    <t>Разом по розділу IV:</t>
  </si>
  <si>
    <t>V.1</t>
  </si>
  <si>
    <t>впровадження корпоративного зв`язку компанії</t>
  </si>
  <si>
    <t>Всього V.1.1</t>
  </si>
  <si>
    <t>Всього V.1</t>
  </si>
  <si>
    <t>V.3</t>
  </si>
  <si>
    <t>Всього V.3</t>
  </si>
  <si>
    <t>Разом по розділу V:</t>
  </si>
  <si>
    <t>Разом по розділу VІ:</t>
  </si>
  <si>
    <t>Разом по розділу VІІ:</t>
  </si>
  <si>
    <t>Всього І.2</t>
  </si>
  <si>
    <t>№ з/п</t>
  </si>
  <si>
    <t>Цільові програми</t>
  </si>
  <si>
    <t>у т.ч. по роках:</t>
  </si>
  <si>
    <t>%</t>
  </si>
  <si>
    <t>І</t>
  </si>
  <si>
    <t>ІІ</t>
  </si>
  <si>
    <t>IV</t>
  </si>
  <si>
    <t>V</t>
  </si>
  <si>
    <t>VI</t>
  </si>
  <si>
    <t>VII</t>
  </si>
  <si>
    <t>Впровадження та розвиток інформаційних технологій</t>
  </si>
  <si>
    <t>Впровадження та розвиток систем зв'язку і телекомунікацій</t>
  </si>
  <si>
    <t>Модернізація та закупівля транспортних засобів</t>
  </si>
  <si>
    <t>Інше</t>
  </si>
  <si>
    <t>Разом</t>
  </si>
  <si>
    <t>Складові цільової програми</t>
  </si>
  <si>
    <t>Всього на рік</t>
  </si>
  <si>
    <t>Економічний ефект (зниження ТВЕ)</t>
  </si>
  <si>
    <t>І.2</t>
  </si>
  <si>
    <t xml:space="preserve">Заміна вимірювальних трансформаторів </t>
  </si>
  <si>
    <t>ТС 0,4 кВ</t>
  </si>
  <si>
    <t>ТС, ТН 6(10)-150 кВ</t>
  </si>
  <si>
    <t>І.1</t>
  </si>
  <si>
    <t xml:space="preserve">  впровадження  комерційного обліку 
  електроенергії 
</t>
  </si>
  <si>
    <t xml:space="preserve">  впровадження обліку електроенергії на    межі структурних підрозділів (РЕМ, філій)</t>
  </si>
  <si>
    <t>трансформатор ТДНС - 10000/35 У1</t>
  </si>
  <si>
    <t>16428</t>
  </si>
  <si>
    <t xml:space="preserve">Заміна трансформатора Т-1  типу ТДНС-10000/35 У1 на підстанції  Центральна </t>
  </si>
  <si>
    <t>впровадження обліку споживання електроенергії населенням, у т.ч.:</t>
  </si>
  <si>
    <t>сільським</t>
  </si>
  <si>
    <t>міським</t>
  </si>
  <si>
    <t>придбання стендів повірки, зразкових лічильників, повірочних лабораторій, тощо</t>
  </si>
  <si>
    <t>ІІ.1</t>
  </si>
  <si>
    <t>ІІ.2</t>
  </si>
  <si>
    <t>ІІ.1.2</t>
  </si>
  <si>
    <t>ІІ.1.1</t>
  </si>
  <si>
    <t>Заміна силового трансформатора 35 кВ (госп. спосіб)</t>
  </si>
  <si>
    <t>ІІ.1.4</t>
  </si>
  <si>
    <t>зниження ТВЕ</t>
  </si>
  <si>
    <t xml:space="preserve">Економічний ефект </t>
  </si>
  <si>
    <t>Окупність в роках</t>
  </si>
  <si>
    <t xml:space="preserve">    "____" ___________ 20___ року</t>
  </si>
  <si>
    <t>Придбання та впровадження засобів диспетчерсько-технологічного управління замість морально і фізично-зношених та для розширення існуючих, у т.ч.:</t>
  </si>
  <si>
    <t>V.1.1</t>
  </si>
  <si>
    <t>V.1.2</t>
  </si>
  <si>
    <t>V.1.3</t>
  </si>
  <si>
    <t>V.1.4</t>
  </si>
  <si>
    <t>Модернізація існуючих та закупівля нових засобів комп'ютеризації, у т.ч.:</t>
  </si>
  <si>
    <t>закупівля нових робочих станцій</t>
  </si>
  <si>
    <t>закупівля нового мережного обладнання</t>
  </si>
  <si>
    <t>модифікація застарілих мереж і комунікаційного обладнання</t>
  </si>
  <si>
    <t>інші засоби комп'ютеризації</t>
  </si>
  <si>
    <t>Закупівля програмного забезпечення, у т.ч.:</t>
  </si>
  <si>
    <t>Windows 98 (95) ОЕМ</t>
  </si>
  <si>
    <t>Windows 2000/ХР ОЕМ</t>
  </si>
  <si>
    <t>Windows 2000 server</t>
  </si>
  <si>
    <t>Windows NT 4.0 server</t>
  </si>
  <si>
    <t>інше програмне забезпечення</t>
  </si>
  <si>
    <t>Модернізація прикладного програмного забезпечення, у т.ч.:</t>
  </si>
  <si>
    <t>інші системи контролю та управління</t>
  </si>
  <si>
    <t>Інформаційна система управління виробництвом</t>
  </si>
  <si>
    <t>Економічний ефект (окупність в роках)</t>
  </si>
  <si>
    <t>Системи зв'язку та телекомунікацій, у т.ч.:</t>
  </si>
  <si>
    <t>впровадження корпоративного зв'язку компанії</t>
  </si>
  <si>
    <t>цифрові АТС</t>
  </si>
  <si>
    <t>модернізація існуючих видів зв'язку (радіо, високочастотні, р/релейні і т.п)</t>
  </si>
  <si>
    <t>резервне електроживлення засобів зв'язку та телекомунікацій</t>
  </si>
  <si>
    <t>Придбання обладнання, що не вимагає монтажу</t>
  </si>
  <si>
    <t>Всього</t>
  </si>
  <si>
    <t>кількість</t>
  </si>
  <si>
    <t>І квартал</t>
  </si>
  <si>
    <t>ІІ квартал</t>
  </si>
  <si>
    <t>ІІІ квартал</t>
  </si>
  <si>
    <t>Одиниця виміру</t>
  </si>
  <si>
    <t>Джерело фінансування</t>
  </si>
  <si>
    <t>110 кВ</t>
  </si>
  <si>
    <t>км</t>
  </si>
  <si>
    <t>3.3</t>
  </si>
  <si>
    <t>3.4</t>
  </si>
  <si>
    <t>(П. І. Б.)</t>
  </si>
  <si>
    <t>М. П.</t>
  </si>
  <si>
    <t>11.3.3</t>
  </si>
  <si>
    <t>11.3.4</t>
  </si>
  <si>
    <t>11.3.5</t>
  </si>
  <si>
    <t>11.3.6</t>
  </si>
  <si>
    <t>11.3.7</t>
  </si>
  <si>
    <t>5.V.1. Етапи впровадження системи зв'язку і телекомунікацій</t>
  </si>
  <si>
    <t xml:space="preserve">Фінансування реалізації Проекту, перебдачене Інвестиційною програмою  базового періоду  </t>
  </si>
  <si>
    <t xml:space="preserve">Фінансування, передбачене на реалізацію Проекту Інвестиційною програмою на прогнозний період </t>
  </si>
  <si>
    <t>Упровадження та розвиток магістральних ліній зв'язку</t>
  </si>
  <si>
    <t>О.Д. Пузирьков-Уваров</t>
  </si>
  <si>
    <t>Устновлення та заміна каналоутворюючого та комутаційного обладнання (у тому числі АТС)</t>
  </si>
  <si>
    <t>Упровадження та розвиток ліній зв'язку "останньої милі"</t>
  </si>
  <si>
    <t>2.8</t>
  </si>
  <si>
    <t>2.9</t>
  </si>
  <si>
    <t>2.10</t>
  </si>
  <si>
    <t>2.11</t>
  </si>
  <si>
    <t>2.12</t>
  </si>
  <si>
    <t>2.13</t>
  </si>
  <si>
    <t>2.14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</si>
  <si>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</si>
  <si>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</si>
  <si>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</si>
  <si>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</si>
  <si>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</si>
  <si>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</si>
  <si>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</si>
  <si>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</si>
  <si>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</si>
  <si>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</si>
  <si>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11.3.41</t>
  </si>
  <si>
    <t>ст. 75</t>
  </si>
  <si>
    <t>ст. 77</t>
  </si>
  <si>
    <t>ст. 90</t>
  </si>
  <si>
    <t>ст. 92</t>
  </si>
  <si>
    <t>Магістральній канал зв'язку Ніжин-Носівка</t>
  </si>
  <si>
    <t>2.28</t>
  </si>
  <si>
    <t>Усього</t>
  </si>
  <si>
    <t>2.3</t>
  </si>
  <si>
    <t>Реконструкція  ПС 110/35/10 "Холми"</t>
  </si>
  <si>
    <t>Реконструкція  ПС 110/35/10 "Подусівка"</t>
  </si>
  <si>
    <t>Реконструкція ПЛ 110 кВ "відгалудження на Мена-1"</t>
  </si>
  <si>
    <t>Будівництво ПЛ 35 кВ "Н.Биків - Веприк"</t>
  </si>
  <si>
    <t xml:space="preserve">Грозозахист ПЛ 110 кВ "Бобровиця-Носівка- Ніжин - Куликівка", </t>
  </si>
  <si>
    <t>Найменування матеріалів та обладнання по Інвестиційній програмі ПАТ "ЧЕРНІГІВОБЛЕНЕРГО"   на 2012 рік</t>
  </si>
  <si>
    <t>Однофазні лічильники ел.енергії</t>
  </si>
  <si>
    <t>Трифазні лічильники ел.енергії</t>
  </si>
  <si>
    <t>Лічильник зразковий переносний</t>
  </si>
  <si>
    <t xml:space="preserve">Закупівля нових робочих станцій </t>
  </si>
  <si>
    <t>Комп'ютер</t>
  </si>
  <si>
    <t>Принтер лазерний  формат A4   25 стр/хв    max50000 стр/міс з дуплексом</t>
  </si>
  <si>
    <t>Принтер лазерний  формат A4   33 стр/хв    max100000 стр/міс  з запасним картриджем</t>
  </si>
  <si>
    <t>Принтер лазерний  формат A4   43 стр/хв    max175000 стр/мес з запасним картриджем</t>
  </si>
  <si>
    <t>Багатофункціональний пристрій (принтер-копір-сканер) для РЕМів формат A3  (включено стартовый пакет та пусконаладка)</t>
  </si>
  <si>
    <t>Багатофункціональний пристрій (принтер-копір-сканер) для робочих груп  формат A4</t>
  </si>
  <si>
    <t>Сканери формат А4 для підрозділів</t>
  </si>
  <si>
    <t>Пристрій безперебійного живлення Eaton MX 5000 RT 3U</t>
  </si>
  <si>
    <t>Батарея до Eaton MX (MGE Pulsar MX) 4000/5000 RT3U</t>
  </si>
  <si>
    <t>Проекти радіовежі</t>
  </si>
  <si>
    <t>Прольоти РРЛ</t>
  </si>
  <si>
    <t>Комплекс програмного забезпечення MicroSCADA Pro</t>
  </si>
  <si>
    <t>Сервер HP Proliant ML350G6 з Audio PCI Express та монітором TFT 19"</t>
  </si>
  <si>
    <t>ДБЖ APC Smart-UPS 1500VA</t>
  </si>
  <si>
    <t>Плата Moxa CP-168EL</t>
  </si>
  <si>
    <t>Кабель Moxa OPT8D+</t>
  </si>
  <si>
    <t>Заміна трансформатора Т-1 типу ТДТН 16000/110 У1 на підстанції Бобровиця</t>
  </si>
  <si>
    <t>Заміна трансформатора Т-2 типу ТДТН 40000/110 У1 на підстанції Прилуки</t>
  </si>
  <si>
    <t>Заміна трансформатора Т-1 типу ТДТН 40000/110 У1 на підстанції Подусівка</t>
  </si>
  <si>
    <t>Заміна трансформатора Т-2 типу ТДТН 40000/110 У1 на підстанції Подусівка</t>
  </si>
  <si>
    <t>Плата ЦП/плата зв`язку АВВ 560CMU05</t>
  </si>
  <si>
    <t>Панель монтажна АВВ 23TP22</t>
  </si>
  <si>
    <t>Плата живлення  24В АВВ 560PSU01</t>
  </si>
  <si>
    <t>Плата ЦП/плата зв`язку АВВ 560CMU02</t>
  </si>
  <si>
    <t>Панель монтажна АВВ 560MPR01</t>
  </si>
  <si>
    <t>Блок живлення  24В АВВ 23VG23</t>
  </si>
  <si>
    <t>Плата ТУ АВВ 23BA20</t>
  </si>
  <si>
    <t>Проектні роботи</t>
  </si>
  <si>
    <t>Кабель КВВГЭ 19х1</t>
  </si>
  <si>
    <t>Кабель КВВГЭ 7х1</t>
  </si>
  <si>
    <t>Кабель КВВГЭ 5х1</t>
  </si>
  <si>
    <t>Кабель SFTP cat 4*2*24 AWG solid</t>
  </si>
  <si>
    <t>1.1.2.3</t>
  </si>
  <si>
    <t>ГАЗ-330273-288С "Дует"</t>
  </si>
  <si>
    <t>(підряд. спосіб)</t>
  </si>
  <si>
    <t>Реконструкція ПЛ-0,4 кВ с. Рудьківка</t>
  </si>
  <si>
    <t>Реконструкція ПЛ-0,4 кВ с. Галиця</t>
  </si>
  <si>
    <t>Реконструкція ПЛ-0,4 кВ с. Комань</t>
  </si>
  <si>
    <t>Реконструкція ПЛ-0,4 кВ смт. Талалаївка</t>
  </si>
  <si>
    <t>Реконструкція будівлі ОДС за адресою м. Чернігів вул. Ціолковського, 20.</t>
  </si>
  <si>
    <t>Всього І.1.2.1</t>
  </si>
  <si>
    <t>Всього І.1.2.2</t>
  </si>
  <si>
    <t>Голова правління ПАТ "ЧЕРНІГІВОБЛЕНЕРГО"</t>
  </si>
  <si>
    <t>Капітальне будівництво</t>
  </si>
  <si>
    <t>Виділений канал інтернет</t>
  </si>
  <si>
    <t>Вимірювач втрат напруги в ланцюгах ТН СА210</t>
  </si>
  <si>
    <t xml:space="preserve">Реконструкція ПЛ 35 кВ "Бобровиця-Петрівське" </t>
  </si>
  <si>
    <t>Пломби номерні</t>
  </si>
  <si>
    <t>1.1.2.4</t>
  </si>
  <si>
    <t xml:space="preserve">ТС 0,4 кВ типу Т-066  кл. точності 0,5S різних номіналів </t>
  </si>
  <si>
    <t>ІІ.2.1</t>
  </si>
  <si>
    <t>ІІ.2.2</t>
  </si>
  <si>
    <t>Лічильник ZMD 405CR44.0257 з резервним живленням</t>
  </si>
  <si>
    <t>ІІ.2.3</t>
  </si>
  <si>
    <t>ІІ.2.4</t>
  </si>
  <si>
    <t>ІІ.2.5</t>
  </si>
  <si>
    <t>Індикатор магнітного поля ИМП-1</t>
  </si>
  <si>
    <t>Покажчик магнітного поля УМП-01(02)</t>
  </si>
  <si>
    <t>ТДТН 10000/110 У1</t>
  </si>
  <si>
    <t>ГАЗ-33081-50 (дизель, повний привід)</t>
  </si>
  <si>
    <t>Всього І.1.2.3</t>
  </si>
  <si>
    <t>ТДТН 40000/110 У1</t>
  </si>
  <si>
    <t>Впровадження SAP R3 (розробка проекту)</t>
  </si>
  <si>
    <t>II.1.1</t>
  </si>
  <si>
    <t>Всього ІІ.1.1</t>
  </si>
  <si>
    <t>Чернігівські МЕМ</t>
  </si>
  <si>
    <t>Ніжинський РЕМ</t>
  </si>
  <si>
    <t>Ічнянський РЕМ</t>
  </si>
  <si>
    <t>Прилуцький РЕМ</t>
  </si>
  <si>
    <t>Борзнянський РЕМ (8 ПС)</t>
  </si>
  <si>
    <t>Чернігівський РЕМ (3 ПС)</t>
  </si>
  <si>
    <t>Бобровицький РЕМ</t>
  </si>
  <si>
    <t>Бахмачський РЕМ</t>
  </si>
  <si>
    <t>Менський РЕМ</t>
  </si>
  <si>
    <t>Городнянський РЕМ</t>
  </si>
  <si>
    <t>Корюківський РЕМ (1 ПС)</t>
  </si>
  <si>
    <t>Корюківський РЕМ (5 ПС)</t>
  </si>
  <si>
    <t>Борзнянський РЕМ (1 ПС)</t>
  </si>
  <si>
    <t>Носівський РЕМ</t>
  </si>
  <si>
    <t>Щорський РЕМ</t>
  </si>
  <si>
    <t>Козелецький РЕМ</t>
  </si>
  <si>
    <t>Ріпкінський РЕМ</t>
  </si>
  <si>
    <t>Чернігівський РЕМ (13 ПС)</t>
  </si>
  <si>
    <t>Н.Сіверський РЕМ</t>
  </si>
  <si>
    <t>Семенівський РЕМ</t>
  </si>
  <si>
    <t>Куликівський РЕМ</t>
  </si>
  <si>
    <t>Варвинський РЕМ</t>
  </si>
  <si>
    <t>Срібнянський РЕМ</t>
  </si>
  <si>
    <t>Талалаєвський РЕМ</t>
  </si>
  <si>
    <t>Коропський РЕМ</t>
  </si>
  <si>
    <t>Сосницький РЕМ</t>
  </si>
  <si>
    <t>2.26</t>
  </si>
  <si>
    <t>2.27</t>
  </si>
  <si>
    <t>Центральний диспетчерський пункт ПАТ "Чернігівобленерго"</t>
  </si>
  <si>
    <t>16</t>
  </si>
  <si>
    <t>Будівництво ПС, ТП та РП, всього
з них:</t>
  </si>
  <si>
    <t>Будівництво РП 3 м.Чернігів з КЛ 35 кВ від ПС "Ялівщина"</t>
  </si>
  <si>
    <t>Всього І.1.1.2</t>
  </si>
  <si>
    <t>Всього І.1.1</t>
  </si>
  <si>
    <t>1.1.5.2</t>
  </si>
  <si>
    <t>№ 259 від 19.08.2009</t>
  </si>
  <si>
    <t>10.3.1</t>
  </si>
  <si>
    <t>Магістральній канал зв'язку Чернігів-Куликівка-Ніжин, цифрові канали до віддалених РЕМ</t>
  </si>
  <si>
    <t>2003-2004</t>
  </si>
  <si>
    <t>Магістральній канал зв'язку Ніжин-Ічня-Прилуки</t>
  </si>
  <si>
    <t>Магістральній канал зв'язку Чернігів-Ріпки-Городня</t>
  </si>
  <si>
    <t>Магістральній канал зв'язку Городня-Щорс-Корюківка</t>
  </si>
  <si>
    <t>Магістральній канал зв'язку Корюківка-Мена</t>
  </si>
  <si>
    <t>Магістральній канал зв'язку Мена-Борзна</t>
  </si>
  <si>
    <t>Магістральній канал зв'язку Мена-Сосниця-Короп</t>
  </si>
  <si>
    <t>Магістральній канал зв'язку Бахмач-ПС35/10Дмитровка-Талалаївка</t>
  </si>
  <si>
    <t>Магістральній канал зв'язку Прилуки-Варва-Срібне-Талалаївка</t>
  </si>
  <si>
    <t>Магістральній канал зв'язку Корюківка-Семенівка-Н.Сіверський</t>
  </si>
  <si>
    <t xml:space="preserve">АТС Куликівка, Ніжин, Прилуки РЕМ, ПдВЕМ, </t>
  </si>
  <si>
    <t>АТС Ічня, Ріпки, Городня, Щорс, Корюківка, Мена РЕМ</t>
  </si>
  <si>
    <t>АТС Козелець РЕМ</t>
  </si>
  <si>
    <t>АТС Борзна, Семенівка РЕМ</t>
  </si>
  <si>
    <t>3.5</t>
  </si>
  <si>
    <t>АТС Носівка РЕМ</t>
  </si>
  <si>
    <t>3.6</t>
  </si>
  <si>
    <t>АТС Бобровиця, Бахмач, Сосниця РЕМ</t>
  </si>
  <si>
    <t>3.7</t>
  </si>
  <si>
    <t>АТС Короп, Талалаївка, Варва РЕМ</t>
  </si>
  <si>
    <t>3.8</t>
  </si>
  <si>
    <t>АТС Срібне, Н.Сіверський РЕМ</t>
  </si>
  <si>
    <t>ст. 3</t>
  </si>
  <si>
    <t>ст. 7</t>
  </si>
  <si>
    <t>ст. 18</t>
  </si>
  <si>
    <t>ст. 25</t>
  </si>
  <si>
    <t>ст. 59</t>
  </si>
  <si>
    <t>ст. 63</t>
  </si>
  <si>
    <t>ст. 73</t>
  </si>
  <si>
    <t>ст. 83</t>
  </si>
  <si>
    <t>ст. 86</t>
  </si>
  <si>
    <t>ст. 89</t>
  </si>
  <si>
    <t>ст. 96</t>
  </si>
  <si>
    <t>ст. 106</t>
  </si>
  <si>
    <t>ТДТН 16000/110 У1</t>
  </si>
  <si>
    <t>Проектні роботи з реконструкції ПЛ-0,4-10 кВ</t>
  </si>
  <si>
    <t>Проектні роботи з реконструкції КЛ-10 кВ</t>
  </si>
  <si>
    <t>Проектні роботи з реконструкції КЛ-0,4 кВ</t>
  </si>
  <si>
    <t>480</t>
  </si>
  <si>
    <t>Заміна силового трансформатора 110 кВ (госп. спосіб)</t>
  </si>
  <si>
    <t>9.3.1</t>
  </si>
  <si>
    <t>9.3.3</t>
  </si>
  <si>
    <t>9.3.4</t>
  </si>
  <si>
    <t>9.3.5</t>
  </si>
  <si>
    <t>Всього 1.1</t>
  </si>
  <si>
    <t>1713</t>
  </si>
  <si>
    <t>16408</t>
  </si>
  <si>
    <t>№ 248 від 21.11.2011</t>
  </si>
  <si>
    <t>Реконструкція ПЛ-110 кВ  "Чернігівська - Ріпки" (підрядний спосіб).</t>
  </si>
  <si>
    <t>4.5</t>
  </si>
  <si>
    <t xml:space="preserve">Реконструкція ПЛ-0,4 кВ  с. Бережівка  </t>
  </si>
  <si>
    <t>Ліцензування програмного забезпечення Microsoft</t>
  </si>
  <si>
    <t>1.2.2</t>
  </si>
  <si>
    <t>4.2.5</t>
  </si>
  <si>
    <t>13840</t>
  </si>
  <si>
    <t>№264 від 19.08.2009</t>
  </si>
  <si>
    <t>№260 від 19.08.2010</t>
  </si>
  <si>
    <t>Всього на 2012 -2016 рр. (з ПДВ)</t>
  </si>
  <si>
    <t>Всього І.1.5.1</t>
  </si>
  <si>
    <t>№ 60 від 30.05.2011</t>
  </si>
  <si>
    <t>№ 143 від 03.08.2011</t>
  </si>
  <si>
    <t>№142 від 03.08.2011</t>
  </si>
  <si>
    <t>ст. 76</t>
  </si>
  <si>
    <t>ст. 93</t>
  </si>
  <si>
    <t>Всього І.1.5.2</t>
  </si>
  <si>
    <t xml:space="preserve">Реконструкція ПЛ 10 кВ "Тупічів-Спиртзавод" </t>
  </si>
  <si>
    <t>4.3</t>
  </si>
  <si>
    <t>4.4</t>
  </si>
  <si>
    <t>11020</t>
  </si>
  <si>
    <t>130878</t>
  </si>
  <si>
    <t>ПЛ 10 кВ "Халимоново" вставка оп. №12-13</t>
  </si>
  <si>
    <t>Всього на 2012 - 2016 рр. (з ПДВ)</t>
  </si>
  <si>
    <t>Всього ІІ.1.3</t>
  </si>
  <si>
    <t>підрядний</t>
  </si>
  <si>
    <t>господарський</t>
  </si>
  <si>
    <t>19264</t>
  </si>
  <si>
    <t>211, 37356</t>
  </si>
  <si>
    <t>3.2.1</t>
  </si>
  <si>
    <t>4.2.1</t>
  </si>
  <si>
    <t>4.2.2</t>
  </si>
  <si>
    <t>4.2.3</t>
  </si>
  <si>
    <t>4.2.4</t>
  </si>
  <si>
    <t>9.3.2</t>
  </si>
  <si>
    <t>Реконструкція ПЛ-110  "ЧТЕЦ-Придеснянська" (перехід через р. Десна) (підрядний спосіб).</t>
  </si>
  <si>
    <t>Реконструкція ПЛ-110 "ЧТЕЦ-Придеснянська" (перехід через р. Десна) (підрядний спосіб).</t>
  </si>
  <si>
    <t>Системи зв'язку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</si>
  <si>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</si>
  <si>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</si>
  <si>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</si>
  <si>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</si>
  <si>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</si>
  <si>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</si>
  <si>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</si>
  <si>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</si>
  <si>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</si>
  <si>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</si>
  <si>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Радіовежа Носівка РЕМ (65 м)</t>
  </si>
  <si>
    <t>Радіовежа Козелець РЕМ (75 м)</t>
  </si>
  <si>
    <t>VІІ.1</t>
  </si>
  <si>
    <t>Реконструкція  ПС 110/10 "М.Комбінат"</t>
  </si>
  <si>
    <t xml:space="preserve">VII. Інше </t>
  </si>
  <si>
    <t>Реконструкція ПЛ 10 кВ "Тупичів-Спиртзавод"  (підряд. спосіб)</t>
  </si>
  <si>
    <t>амортизаційні відрах.</t>
  </si>
  <si>
    <t>прибуток</t>
  </si>
  <si>
    <t>*</t>
  </si>
  <si>
    <t>IP телефонія</t>
  </si>
  <si>
    <t xml:space="preserve">Назва продукції </t>
  </si>
  <si>
    <t>11.1</t>
  </si>
  <si>
    <t>11.1.1</t>
  </si>
  <si>
    <t>11.2</t>
  </si>
  <si>
    <t>11.3</t>
  </si>
  <si>
    <t>11.3.1</t>
  </si>
  <si>
    <t>шт.</t>
  </si>
  <si>
    <t>35кВ</t>
  </si>
  <si>
    <t xml:space="preserve"> </t>
  </si>
  <si>
    <t>11.3.13</t>
  </si>
  <si>
    <t>2.6</t>
  </si>
  <si>
    <t>2.2.2</t>
  </si>
  <si>
    <t>2.7</t>
  </si>
  <si>
    <t>Примітка</t>
  </si>
  <si>
    <t>білінгових систем</t>
  </si>
  <si>
    <t>у т. ч. по кварталах</t>
  </si>
  <si>
    <t>Впровадження та розвиток АСДТУ</t>
  </si>
  <si>
    <t>Покращення обліку електроенергії, у т.ч.:</t>
  </si>
  <si>
    <t>Система керування і отримання даних</t>
  </si>
  <si>
    <t>Телемеханіка ПС</t>
  </si>
  <si>
    <t>Архіватори мови</t>
  </si>
  <si>
    <t>Цифрові реєстратори подій</t>
  </si>
  <si>
    <t>Магістральній канал зв'язку Носівка-Козелець</t>
  </si>
  <si>
    <t>Магістральній канал зв'язку Козелець-Бобровиця, Борзна-Бахмач</t>
  </si>
  <si>
    <t>35 кВ</t>
  </si>
  <si>
    <t>млн. кВт*год</t>
  </si>
  <si>
    <t>Сторінка №</t>
  </si>
  <si>
    <t>Детальне обґрунтування, розрахунок вартості та економічної ефективності</t>
  </si>
  <si>
    <t>Інші доходи (реактивна ел.ен.)</t>
  </si>
  <si>
    <t>додатковий дохід в 2011 році</t>
  </si>
  <si>
    <t>додатковий дохід в 2011 році/інші доходи (економія ТВЕ) 8,67</t>
  </si>
  <si>
    <t>інші (реструктуризація)</t>
  </si>
  <si>
    <t>Впровадження та розвиток АСДТК</t>
  </si>
  <si>
    <t>Всього по програмі</t>
  </si>
  <si>
    <t>III</t>
  </si>
  <si>
    <t>Заходи по зниженню та/або недопущенню понаднормативних витрат електроенергії</t>
  </si>
  <si>
    <t>І.1.1</t>
  </si>
  <si>
    <t>І.1.2</t>
  </si>
  <si>
    <t>І.1.3</t>
  </si>
  <si>
    <t>III.1</t>
  </si>
  <si>
    <t>III.1.1</t>
  </si>
  <si>
    <t>III.1.2</t>
  </si>
  <si>
    <t>III.1.3</t>
  </si>
  <si>
    <t>III.1.4</t>
  </si>
  <si>
    <t>III.2</t>
  </si>
  <si>
    <t>ІV.1</t>
  </si>
  <si>
    <t>ІV.1.1</t>
  </si>
  <si>
    <t>ІV.1.2</t>
  </si>
  <si>
    <t>ІV.1.3</t>
  </si>
  <si>
    <t>ІV.1.4</t>
  </si>
  <si>
    <t>ІV.2</t>
  </si>
  <si>
    <t>ІV.2.1</t>
  </si>
  <si>
    <t>ІV.2.2</t>
  </si>
  <si>
    <t>ІV.2.3</t>
  </si>
  <si>
    <t>ІV.2.4</t>
  </si>
  <si>
    <t>ІV.2.5</t>
  </si>
  <si>
    <t>ІV.3</t>
  </si>
  <si>
    <t>ІV.3.1</t>
  </si>
  <si>
    <t>ІV.3.2</t>
  </si>
  <si>
    <t>ІV.4</t>
  </si>
  <si>
    <t>ІV.5</t>
  </si>
  <si>
    <t>V.1.</t>
  </si>
  <si>
    <t>V.2.</t>
  </si>
  <si>
    <t>V.3.</t>
  </si>
  <si>
    <t>IІ.1.3.</t>
  </si>
  <si>
    <t>ІІ.1.5</t>
  </si>
  <si>
    <t>5. Загальний опис робіт</t>
  </si>
  <si>
    <t>5.II. Заходи по зниженню та/або недопущенню понаднормативних витрат електроенергії</t>
  </si>
  <si>
    <t>5.III. Впровадження та розвиток АСДТК</t>
  </si>
  <si>
    <t>5.ІV. Впровадження та розвиток інформаційних технологій</t>
  </si>
  <si>
    <t>5.V. Впровадження та розвиток системи зв'язку і телекомунікацій</t>
  </si>
  <si>
    <t>5.VI. Модернізація та закупівля транспортних засобів</t>
  </si>
  <si>
    <t>5.VIІ. Інше</t>
  </si>
  <si>
    <t>IІІ. Впровадження та розвиток АСДТК</t>
  </si>
  <si>
    <t>ІV. Впровадження та розвиток інформаційних технологій.</t>
  </si>
  <si>
    <t>V. Впровадження та розвиток систем зв'язку та телекомунікацій</t>
  </si>
  <si>
    <t>VІ. Модернізація та закупівля транспортних засобів.</t>
  </si>
  <si>
    <t>II. Заходи по зниженню та/або недопущенню понаднормативних витрат електроенергії</t>
  </si>
  <si>
    <t>І.1.4</t>
  </si>
  <si>
    <t>І.1.5</t>
  </si>
  <si>
    <t>тис.грн з ПДВ</t>
  </si>
  <si>
    <t>№ сторінки пояснювальної записки</t>
  </si>
  <si>
    <r>
      <t>№ сторінки об</t>
    </r>
    <r>
      <rPr>
        <sz val="10"/>
        <rFont val="Arial Cyr"/>
        <family val="2"/>
      </rPr>
      <t>ґ</t>
    </r>
    <r>
      <rPr>
        <sz val="10"/>
        <rFont val="Arial Cyr"/>
        <family val="0"/>
      </rPr>
      <t>рунтовуючих матеріалів</t>
    </r>
  </si>
  <si>
    <t>Будівництво, реконструкція та модернізація електричних мереж, у т.ч:</t>
  </si>
  <si>
    <t>0,4 кВ</t>
  </si>
  <si>
    <t>І.1.1.1</t>
  </si>
  <si>
    <t>І.1.1.2</t>
  </si>
  <si>
    <t>І.1.1.3</t>
  </si>
  <si>
    <t>Закупівля програмного забезпечення у т.ч.:</t>
  </si>
  <si>
    <t>11.3.9</t>
  </si>
  <si>
    <t>11.3.10</t>
  </si>
  <si>
    <t>11.3.11</t>
  </si>
  <si>
    <t>11.3.12</t>
  </si>
  <si>
    <t>11.3.14</t>
  </si>
  <si>
    <t>11.3.15</t>
  </si>
  <si>
    <t>11.3.16</t>
  </si>
  <si>
    <t>11.3.17</t>
  </si>
  <si>
    <t>11.3.19</t>
  </si>
  <si>
    <t>11.3.20</t>
  </si>
  <si>
    <t>11.3.21</t>
  </si>
  <si>
    <t>11.3.22</t>
  </si>
  <si>
    <t>11.3.23</t>
  </si>
  <si>
    <t>11.3.24</t>
  </si>
  <si>
    <t>11.3.26</t>
  </si>
  <si>
    <t>11.3.27</t>
  </si>
  <si>
    <t>11.3.31</t>
  </si>
  <si>
    <t>11.3.32</t>
  </si>
  <si>
    <t>11.3.33</t>
  </si>
  <si>
    <t>11.3.34</t>
  </si>
  <si>
    <t>11.3.36</t>
  </si>
  <si>
    <t>11.3.38</t>
  </si>
  <si>
    <t>ст. 27 а</t>
  </si>
  <si>
    <t>11.3.39</t>
  </si>
  <si>
    <t>11.3.40</t>
  </si>
  <si>
    <t>11.3.42</t>
  </si>
  <si>
    <t>11.3.43</t>
  </si>
  <si>
    <t>11.3.46</t>
  </si>
  <si>
    <t>11.3.47</t>
  </si>
  <si>
    <t>11.3.49</t>
  </si>
  <si>
    <t>1.1.4</t>
  </si>
  <si>
    <t>ст. 79</t>
  </si>
  <si>
    <t>ст. 82</t>
  </si>
  <si>
    <t>ст. 84</t>
  </si>
  <si>
    <t>ст. 87</t>
  </si>
  <si>
    <t>ст. 94</t>
  </si>
  <si>
    <t>ст. 100</t>
  </si>
  <si>
    <t>ст. 101</t>
  </si>
  <si>
    <t>ст. 107</t>
  </si>
  <si>
    <t>ст. 122</t>
  </si>
  <si>
    <t>ст. 125</t>
  </si>
  <si>
    <t>ст. 130</t>
  </si>
  <si>
    <t>ст.  122</t>
  </si>
  <si>
    <t>Будівництво нових ЛЕП (КЛ, ПЛ), всього
з них:</t>
  </si>
  <si>
    <t>ст.  88</t>
  </si>
  <si>
    <t>Заміна вимірювальних трансформаторів</t>
  </si>
  <si>
    <t>2.2.1</t>
  </si>
  <si>
    <t>11.3.28</t>
  </si>
  <si>
    <t>11.3.29</t>
  </si>
  <si>
    <t>11.3.30</t>
  </si>
  <si>
    <t>11.3.51</t>
  </si>
  <si>
    <t>11.3.52</t>
  </si>
  <si>
    <t>I варіант</t>
  </si>
  <si>
    <t>Останній варіант</t>
  </si>
  <si>
    <t>Різниця</t>
  </si>
  <si>
    <t>11.3.53</t>
  </si>
  <si>
    <t>11.3.54</t>
  </si>
  <si>
    <t>11.3.55</t>
  </si>
  <si>
    <t>11.3.56</t>
  </si>
  <si>
    <t>11.3.57</t>
  </si>
  <si>
    <t>І.1.1.4</t>
  </si>
  <si>
    <t>в т.ч. з магістральними ізольованими проводами</t>
  </si>
  <si>
    <t>І.1.2.1</t>
  </si>
  <si>
    <t>І.1.2.2</t>
  </si>
  <si>
    <t>І.1.2.3</t>
  </si>
  <si>
    <t>І.1.2.4</t>
  </si>
  <si>
    <t>Будівництво, модернізація та реконструкція електричних мереж та обладнання</t>
  </si>
  <si>
    <t>Реконструкція ЛЕП (КЛ, ПЛ), всього
з них:</t>
  </si>
  <si>
    <t>Будівництво нових ПС, РП та ТП, всього
з них:</t>
  </si>
  <si>
    <t>І.1.3.1</t>
  </si>
  <si>
    <t>І.1.3.2</t>
  </si>
  <si>
    <t>І.1.3.3</t>
  </si>
  <si>
    <t>Реконструкція ПС, ТП та РП, всього
з них:</t>
  </si>
  <si>
    <t>І.1.4.1</t>
  </si>
  <si>
    <t>І.1.4.2</t>
  </si>
  <si>
    <t>І.1.4.3</t>
  </si>
  <si>
    <t>І.1.5.1</t>
  </si>
  <si>
    <t>І.1.5.2</t>
  </si>
  <si>
    <t>І.1.5.3</t>
  </si>
  <si>
    <t>І.3</t>
  </si>
  <si>
    <t>Модернізація ПС, ТП та РП, всього
з них:</t>
  </si>
  <si>
    <t>тис.грн (з ПДВ)</t>
  </si>
  <si>
    <t>тис.грн</t>
  </si>
  <si>
    <t>Вартість одиниці продукції
(тис.грн з ПДВ)</t>
  </si>
  <si>
    <t>1.1</t>
  </si>
  <si>
    <t>1.2</t>
  </si>
  <si>
    <t>1</t>
  </si>
  <si>
    <t>1.1.1</t>
  </si>
  <si>
    <t>2.1</t>
  </si>
  <si>
    <t>2.1.1</t>
  </si>
  <si>
    <t>2.2</t>
  </si>
  <si>
    <t>3.1</t>
  </si>
  <si>
    <t>3.1.1</t>
  </si>
  <si>
    <t>3.2</t>
  </si>
  <si>
    <t>4.1</t>
  </si>
  <si>
    <t>4.1.1</t>
  </si>
  <si>
    <t>4.2</t>
  </si>
  <si>
    <t>7.1</t>
  </si>
  <si>
    <t>7.2</t>
  </si>
  <si>
    <t>7.2.1</t>
  </si>
  <si>
    <t>9.1</t>
  </si>
  <si>
    <t>9.1.1</t>
  </si>
  <si>
    <t>9.2</t>
  </si>
  <si>
    <t>9.3</t>
  </si>
  <si>
    <t>10.1</t>
  </si>
  <si>
    <t>10.2</t>
  </si>
  <si>
    <t>11.3.2</t>
  </si>
  <si>
    <t>11.3.18</t>
  </si>
  <si>
    <t>11.3.25</t>
  </si>
  <si>
    <t>11.3.35</t>
  </si>
  <si>
    <t>11.3.37</t>
  </si>
  <si>
    <t>Наявність проектної документації (дата і номер документа про її затвердження)*</t>
  </si>
  <si>
    <t>11.3.44</t>
  </si>
  <si>
    <t>11.3.45</t>
  </si>
  <si>
    <t>11.3.50</t>
  </si>
  <si>
    <t>10.2.1</t>
  </si>
  <si>
    <t>10.3</t>
  </si>
  <si>
    <t>будівництво ПЛ-0,4 кВ самоутримним ізольованим проводом</t>
  </si>
  <si>
    <t>будівництво ПЛ-0,4 кВ голим проводом</t>
  </si>
  <si>
    <t>2</t>
  </si>
  <si>
    <t>3</t>
  </si>
  <si>
    <t>4</t>
  </si>
  <si>
    <t>7</t>
  </si>
  <si>
    <t>8</t>
  </si>
  <si>
    <t>9</t>
  </si>
  <si>
    <t>10</t>
  </si>
  <si>
    <t>11</t>
  </si>
  <si>
    <t>км / шт</t>
  </si>
  <si>
    <t>Інші доходи (економія ТВЕ)</t>
  </si>
  <si>
    <t>інші (реструктуризація)-12,26/інші доходи (економія ТВЕ)-12,26</t>
  </si>
  <si>
    <t>інші (реструктуризація)-62/інші доходи (економія ТВЕ)-186</t>
  </si>
  <si>
    <t>інші (реструктуризація)-143,18/інші доходи (економія ТВЕ)-143,18</t>
  </si>
  <si>
    <t>інші (реструктуризація)-14,96/інші доходи (економія ТВЕ)-34,21</t>
  </si>
  <si>
    <t>інші (реструктуризація)-27,72/інші доходи (економія ТВЕ)-23,45</t>
  </si>
  <si>
    <t>інші (реструктуризація)-19,74інші доходи (економія ТВЕ)-42,77</t>
  </si>
  <si>
    <t>інші (реструктуризація)-494/інші доходи (рект.ел.ен)-988</t>
  </si>
  <si>
    <t>інші (реструктуризація)-2241,98/інші доходи(реакт.ел.ен.)-442,11</t>
  </si>
  <si>
    <t>інші (реструктуризація)-180/інші доходи (реакт. ел.ен.)-1080</t>
  </si>
  <si>
    <t>амортизаційні відрах./інші доходи (реакт.ел.ен.)-0,22</t>
  </si>
  <si>
    <t>-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</si>
</sst>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/yyyy;@"/>
    <numFmt numFmtId="178" formatCode="dd\.mm\.yyyy;@"/>
    <numFmt numFmtId="179" formatCode="#,##0.0"/>
    <numFmt numFmtId="180" formatCode="#,##0.000_ ;[Red]\-#,##0.000\ "/>
    <numFmt numFmtId="181" formatCode="#,##0_ ;[Red]\-#,##0\ "/>
    <numFmt numFmtId="182" formatCode="#,##0.0_ ;[Red]\-#,##0.0\ "/>
    <numFmt numFmtId="183" formatCode="#,##0.0000_ ;[Red]\-#,##0.0000\ "/>
    <numFmt numFmtId="184" formatCode="0.000"/>
    <numFmt numFmtId="185" formatCode="[$-422]d\ mmmm\ yyyy&quot; р.&quot;"/>
    <numFmt numFmtId="186" formatCode="yyyy"/>
    <numFmt numFmtId="187" formatCode="0.0"/>
    <numFmt numFmtId="188" formatCode="0.0%"/>
    <numFmt numFmtId="189" formatCode="[$-FC22]d\ mmmm\ yyyy&quot; р.&quot;;@"/>
    <numFmt numFmtId="190" formatCode="0.0000"/>
    <numFmt numFmtId="191" formatCode="0.000%"/>
    <numFmt numFmtId="192" formatCode="0.00000"/>
    <numFmt numFmtId="193" formatCode="_-* #,##0.0\ _г_р_н_._-;\-* #,##0.0\ _г_р_н_._-;_-* &quot;-&quot;??\ _г_р_н_._-;_-@_-"/>
    <numFmt numFmtId="194" formatCode="_-* #,##0\ _г_р_н_._-;\-* #,##0\ _г_р_н_._-;_-* &quot;-&quot;??\ _г_р_н_._-;_-@_-"/>
    <numFmt numFmtId="195" formatCode="_-* #,##0.000\ _г_р_н_._-;\-* #,##0.000\ _г_р_н_._-;_-* &quot;-&quot;??\ _г_р_н_._-;_-@_-"/>
    <numFmt numFmtId="196" formatCode="#,##0&quot; /АС-70&quot;;\-#,##0.00&quot;р.&quot;"/>
    <numFmt numFmtId="197" formatCode="#&quot;/АС-35&quot;"/>
    <numFmt numFmtId="198" formatCode="dd\.mm\.yyyy\ &quot;р.&quot;"/>
    <numFmt numFmtId="199" formatCode="#,##0_ ;\-#,##0\ "/>
    <numFmt numFmtId="200" formatCode="0.000000"/>
    <numFmt numFmtId="201" formatCode="0_ ;\-0\ "/>
    <numFmt numFmtId="202" formatCode="#,##0.0_ ;\-#,##0.0\ "/>
    <numFmt numFmtId="203" formatCode="0.0_ ;\-0.0\ "/>
    <numFmt numFmtId="204" formatCode="0.0,&quot;км&quot;"/>
    <numFmt numFmtId="205" formatCode="0.0&quot; км&quot;"/>
    <numFmt numFmtId="206" formatCode="0.0000000"/>
    <numFmt numFmtId="207" formatCode="#,##0.0000"/>
    <numFmt numFmtId="208" formatCode="#,##0.00_ ;[Red]\-#,##0.00\ "/>
    <numFmt numFmtId="209" formatCode="#,##0.000"/>
    <numFmt numFmtId="210" formatCode="#,##0.00000"/>
    <numFmt numFmtId="211" formatCode="0.0000%"/>
    <numFmt numFmtId="212" formatCode="#,##0.000000_ ;[Red]\-#,##0.000000\ "/>
    <numFmt numFmtId="213" formatCode="#,##0;[Red]#,##0"/>
    <numFmt numFmtId="214" formatCode="#,##0.000;[Red]#,##0.000"/>
    <numFmt numFmtId="215" formatCode="#,##0.00000_ ;[Red]\-#,##0.00000\ "/>
    <numFmt numFmtId="216" formatCode="0.000000000"/>
    <numFmt numFmtId="217" formatCode="0.00000000"/>
    <numFmt numFmtId="218" formatCode="0.00000%"/>
    <numFmt numFmtId="219" formatCode="#,##0.00&quot;р.&quot;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0"/>
      <name val="PragmaticaCTT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0"/>
      <color indexed="8"/>
      <name val="Arial Cyr"/>
      <family val="0"/>
    </font>
    <font>
      <u val="single"/>
      <sz val="10"/>
      <name val="Times New Roman Cyr"/>
      <family val="1"/>
    </font>
    <font>
      <u val="single"/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b/>
      <sz val="11"/>
      <name val="Times New Roman"/>
      <family val="1"/>
    </font>
    <font>
      <sz val="11"/>
      <name val="Arial Cyr"/>
      <family val="0"/>
    </font>
    <font>
      <sz val="11"/>
      <name val="PragmaticaCTT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9" fillId="3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5" fillId="15" borderId="7" applyNumberFormat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2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7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17" borderId="0" applyNumberFormat="0" applyBorder="0" applyAlignment="0" applyProtection="0"/>
  </cellStyleXfs>
  <cellXfs count="1027">
    <xf numFmtId="0" fontId="0" fillId="0" borderId="0" xfId="0" applyAlignment="1">
      <alignment/>
    </xf>
    <xf numFmtId="0" fontId="0" fillId="0" borderId="0" xfId="34" applyFont="1" applyBorder="1" applyProtection="1">
      <alignment/>
      <protection/>
    </xf>
    <xf numFmtId="0" fontId="0" fillId="0" borderId="0" xfId="34" applyFont="1" applyBorder="1" applyAlignment="1" applyProtection="1">
      <alignment vertical="top"/>
      <protection/>
    </xf>
    <xf numFmtId="0" fontId="0" fillId="0" borderId="0" xfId="34" applyFont="1" applyProtection="1">
      <alignment/>
      <protection/>
    </xf>
    <xf numFmtId="0" fontId="4" fillId="0" borderId="10" xfId="34" applyFont="1" applyFill="1" applyBorder="1" applyAlignment="1" applyProtection="1">
      <alignment horizontal="center" vertical="center" wrapText="1"/>
      <protection locked="0"/>
    </xf>
    <xf numFmtId="0" fontId="0" fillId="9" borderId="10" xfId="34" applyFont="1" applyFill="1" applyBorder="1" applyAlignment="1" applyProtection="1">
      <alignment horizontal="center" vertical="center" wrapText="1"/>
      <protection/>
    </xf>
    <xf numFmtId="2" fontId="4" fillId="8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34" applyFont="1" applyAlignment="1" applyProtection="1">
      <alignment horizontal="center" vertical="center" wrapText="1"/>
      <protection locked="0"/>
    </xf>
    <xf numFmtId="0" fontId="0" fillId="0" borderId="0" xfId="34" applyFont="1" applyBorder="1" applyAlignment="1" applyProtection="1">
      <alignment horizontal="center" vertical="center" wrapText="1"/>
      <protection locked="0"/>
    </xf>
    <xf numFmtId="0" fontId="0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Alignment="1" applyProtection="1">
      <alignment horizontal="center" vertical="center" wrapText="1"/>
      <protection/>
    </xf>
    <xf numFmtId="0" fontId="0" fillId="0" borderId="10" xfId="34" applyFont="1" applyFill="1" applyBorder="1" applyAlignment="1" applyProtection="1">
      <alignment horizontal="center" vertical="center" wrapText="1"/>
      <protection/>
    </xf>
    <xf numFmtId="0" fontId="0" fillId="0" borderId="0" xfId="34" applyFont="1" applyBorder="1" applyAlignment="1" applyProtection="1">
      <alignment horizontal="center" vertical="center" wrapText="1"/>
      <protection/>
    </xf>
    <xf numFmtId="0" fontId="4" fillId="0" borderId="10" xfId="34" applyFont="1" applyFill="1" applyBorder="1" applyAlignment="1" applyProtection="1">
      <alignment horizontal="center" vertical="center" wrapText="1"/>
      <protection/>
    </xf>
    <xf numFmtId="0" fontId="5" fillId="0" borderId="10" xfId="34" applyFont="1" applyFill="1" applyBorder="1" applyAlignment="1" applyProtection="1">
      <alignment horizontal="center" vertical="center" wrapText="1"/>
      <protection/>
    </xf>
    <xf numFmtId="2" fontId="0" fillId="0" borderId="0" xfId="34" applyNumberFormat="1" applyFont="1" applyBorder="1" applyProtection="1">
      <alignment/>
      <protection/>
    </xf>
    <xf numFmtId="10" fontId="4" fillId="0" borderId="10" xfId="34" applyNumberFormat="1" applyFont="1" applyFill="1" applyBorder="1" applyAlignment="1" applyProtection="1">
      <alignment horizontal="center" vertical="center" wrapText="1"/>
      <protection/>
    </xf>
    <xf numFmtId="4" fontId="4" fillId="0" borderId="10" xfId="34" applyNumberFormat="1" applyFont="1" applyFill="1" applyBorder="1" applyAlignment="1" applyProtection="1">
      <alignment horizontal="center" vertical="center" wrapText="1"/>
      <protection/>
    </xf>
    <xf numFmtId="4" fontId="4" fillId="8" borderId="10" xfId="3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34" applyFont="1" applyFill="1" applyBorder="1" applyAlignment="1">
      <alignment horizontal="center" vertical="center" wrapText="1"/>
      <protection/>
    </xf>
    <xf numFmtId="0" fontId="4" fillId="0" borderId="11" xfId="34" applyFont="1" applyFill="1" applyBorder="1" applyAlignment="1" applyProtection="1">
      <alignment horizontal="center" vertical="center" wrapText="1"/>
      <protection/>
    </xf>
    <xf numFmtId="4" fontId="4" fillId="8" borderId="10" xfId="34" applyNumberFormat="1" applyFont="1" applyFill="1" applyBorder="1" applyAlignment="1" applyProtection="1">
      <alignment horizontal="center" vertical="center" wrapText="1"/>
      <protection/>
    </xf>
    <xf numFmtId="0" fontId="4" fillId="0" borderId="0" xfId="34" applyFont="1" applyAlignment="1">
      <alignment horizontal="center" vertical="center" wrapText="1"/>
      <protection/>
    </xf>
    <xf numFmtId="0" fontId="4" fillId="0" borderId="10" xfId="34" applyFont="1" applyFill="1" applyBorder="1" applyAlignment="1">
      <alignment horizontal="left" vertical="center" wrapText="1"/>
      <protection/>
    </xf>
    <xf numFmtId="0" fontId="4" fillId="0" borderId="10" xfId="34" applyFont="1" applyBorder="1" applyAlignment="1" applyProtection="1">
      <alignment horizontal="center" vertical="center" wrapText="1"/>
      <protection locked="0"/>
    </xf>
    <xf numFmtId="1" fontId="4" fillId="0" borderId="10" xfId="34" applyNumberFormat="1" applyFont="1" applyBorder="1" applyAlignment="1" applyProtection="1">
      <alignment horizontal="center" vertical="center" wrapText="1"/>
      <protection locked="0"/>
    </xf>
    <xf numFmtId="209" fontId="4" fillId="8" borderId="10" xfId="34" applyNumberFormat="1" applyFont="1" applyFill="1" applyBorder="1" applyAlignment="1" applyProtection="1">
      <alignment horizontal="center" vertical="center" wrapText="1"/>
      <protection locked="0"/>
    </xf>
    <xf numFmtId="2" fontId="24" fillId="0" borderId="0" xfId="34" applyNumberFormat="1" applyFont="1" applyFill="1" applyBorder="1" applyAlignment="1" applyProtection="1">
      <alignment horizontal="center" vertical="center"/>
      <protection hidden="1"/>
    </xf>
    <xf numFmtId="2" fontId="16" fillId="0" borderId="0" xfId="34" applyNumberFormat="1" applyFont="1" applyFill="1" applyBorder="1" applyAlignment="1" applyProtection="1">
      <alignment horizontal="center" vertical="center"/>
      <protection hidden="1"/>
    </xf>
    <xf numFmtId="2" fontId="25" fillId="0" borderId="0" xfId="34" applyNumberFormat="1" applyFont="1" applyFill="1" applyBorder="1" applyAlignment="1" applyProtection="1">
      <alignment horizontal="center" vertical="center"/>
      <protection hidden="1"/>
    </xf>
    <xf numFmtId="184" fontId="25" fillId="0" borderId="0" xfId="34" applyNumberFormat="1" applyFont="1" applyFill="1" applyBorder="1" applyAlignment="1" applyProtection="1">
      <alignment horizontal="center" vertical="center"/>
      <protection hidden="1"/>
    </xf>
    <xf numFmtId="0" fontId="25" fillId="0" borderId="0" xfId="34" applyFont="1" applyFill="1" applyBorder="1" applyAlignment="1">
      <alignment vertical="center"/>
      <protection/>
    </xf>
    <xf numFmtId="0" fontId="25" fillId="0" borderId="0" xfId="34" applyFont="1" applyFill="1" applyBorder="1" applyAlignment="1">
      <alignment horizontal="center"/>
      <protection/>
    </xf>
    <xf numFmtId="0" fontId="25" fillId="0" borderId="0" xfId="34" applyFont="1" applyFill="1" applyBorder="1">
      <alignment/>
      <protection/>
    </xf>
    <xf numFmtId="0" fontId="25" fillId="0" borderId="0" xfId="34" applyFont="1" applyAlignment="1">
      <alignment horizontal="center" vertical="center" wrapText="1"/>
      <protection/>
    </xf>
    <xf numFmtId="0" fontId="24" fillId="0" borderId="0" xfId="34" applyFont="1" applyFill="1" applyBorder="1">
      <alignment/>
      <protection/>
    </xf>
    <xf numFmtId="184" fontId="24" fillId="0" borderId="0" xfId="34" applyNumberFormat="1" applyFont="1" applyFill="1" applyBorder="1" applyAlignment="1" applyProtection="1">
      <alignment horizontal="center" vertical="center"/>
      <protection hidden="1"/>
    </xf>
    <xf numFmtId="0" fontId="0" fillId="0" borderId="0" xfId="34" applyFont="1" applyAlignment="1" applyProtection="1">
      <alignment vertical="center"/>
      <protection/>
    </xf>
    <xf numFmtId="0" fontId="0" fillId="0" borderId="0" xfId="34" applyFont="1" applyProtection="1">
      <alignment/>
      <protection/>
    </xf>
    <xf numFmtId="0" fontId="4" fillId="0" borderId="0" xfId="34" applyFont="1" applyProtection="1">
      <alignment/>
      <protection/>
    </xf>
    <xf numFmtId="2" fontId="0" fillId="0" borderId="0" xfId="34" applyNumberFormat="1" applyFont="1" applyProtection="1">
      <alignment/>
      <protection/>
    </xf>
    <xf numFmtId="4" fontId="0" fillId="0" borderId="0" xfId="34" applyNumberFormat="1" applyFont="1" applyProtection="1">
      <alignment/>
      <protection/>
    </xf>
    <xf numFmtId="0" fontId="0" fillId="0" borderId="12" xfId="34" applyFont="1" applyBorder="1" applyProtection="1">
      <alignment/>
      <protection/>
    </xf>
    <xf numFmtId="187" fontId="0" fillId="0" borderId="10" xfId="34" applyNumberFormat="1" applyFont="1" applyBorder="1" applyProtection="1">
      <alignment/>
      <protection/>
    </xf>
    <xf numFmtId="187" fontId="0" fillId="0" borderId="0" xfId="34" applyNumberFormat="1" applyFont="1" applyBorder="1" applyProtection="1">
      <alignment/>
      <protection/>
    </xf>
    <xf numFmtId="179" fontId="0" fillId="0" borderId="13" xfId="34" applyNumberFormat="1" applyFont="1" applyBorder="1" applyProtection="1">
      <alignment/>
      <protection/>
    </xf>
    <xf numFmtId="187" fontId="0" fillId="0" borderId="14" xfId="34" applyNumberFormat="1" applyFont="1" applyBorder="1" applyProtection="1">
      <alignment/>
      <protection/>
    </xf>
    <xf numFmtId="4" fontId="0" fillId="0" borderId="15" xfId="34" applyNumberFormat="1" applyFont="1" applyBorder="1" applyProtection="1">
      <alignment/>
      <protection/>
    </xf>
    <xf numFmtId="179" fontId="0" fillId="0" borderId="16" xfId="34" applyNumberFormat="1" applyFont="1" applyBorder="1" applyAlignment="1" applyProtection="1">
      <alignment horizontal="right"/>
      <protection/>
    </xf>
    <xf numFmtId="179" fontId="4" fillId="8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9" applyFont="1">
      <alignment/>
      <protection/>
    </xf>
    <xf numFmtId="0" fontId="44" fillId="0" borderId="0" xfId="58" applyFont="1" applyBorder="1" applyAlignment="1" applyProtection="1">
      <alignment horizontal="left"/>
      <protection hidden="1"/>
    </xf>
    <xf numFmtId="0" fontId="45" fillId="0" borderId="0" xfId="59" applyFont="1">
      <alignment/>
      <protection/>
    </xf>
    <xf numFmtId="0" fontId="45" fillId="0" borderId="0" xfId="59" applyFont="1" applyAlignment="1">
      <alignment horizontal="center"/>
      <protection/>
    </xf>
    <xf numFmtId="0" fontId="46" fillId="0" borderId="0" xfId="58" applyFont="1" applyProtection="1">
      <alignment/>
      <protection hidden="1"/>
    </xf>
    <xf numFmtId="0" fontId="46" fillId="0" borderId="0" xfId="59" applyFont="1">
      <alignment/>
      <protection/>
    </xf>
    <xf numFmtId="0" fontId="45" fillId="0" borderId="0" xfId="58" applyFont="1" applyProtection="1">
      <alignment/>
      <protection hidden="1"/>
    </xf>
    <xf numFmtId="0" fontId="45" fillId="0" borderId="0" xfId="58" applyFont="1" applyAlignment="1" applyProtection="1">
      <alignment horizontal="left"/>
      <protection hidden="1"/>
    </xf>
    <xf numFmtId="0" fontId="45" fillId="0" borderId="0" xfId="58" applyFont="1" applyAlignment="1" applyProtection="1">
      <alignment horizontal="left" indent="3"/>
      <protection hidden="1"/>
    </xf>
    <xf numFmtId="0" fontId="13" fillId="0" borderId="0" xfId="59" applyFont="1">
      <alignment/>
      <protection/>
    </xf>
    <xf numFmtId="0" fontId="43" fillId="0" borderId="0" xfId="59" applyFont="1">
      <alignment/>
      <protection/>
    </xf>
    <xf numFmtId="49" fontId="13" fillId="0" borderId="0" xfId="59" applyNumberFormat="1" applyFont="1">
      <alignment/>
      <protection/>
    </xf>
    <xf numFmtId="0" fontId="14" fillId="0" borderId="0" xfId="59">
      <alignment/>
      <protection/>
    </xf>
    <xf numFmtId="0" fontId="13" fillId="0" borderId="0" xfId="59" applyFont="1" applyAlignment="1">
      <alignment horizontal="center"/>
      <protection/>
    </xf>
    <xf numFmtId="49" fontId="14" fillId="0" borderId="0" xfId="59" applyNumberFormat="1">
      <alignment/>
      <protection/>
    </xf>
    <xf numFmtId="10" fontId="4" fillId="0" borderId="0" xfId="34" applyNumberFormat="1" applyFont="1" applyBorder="1" applyProtection="1">
      <alignment/>
      <protection/>
    </xf>
    <xf numFmtId="0" fontId="48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0" fontId="16" fillId="0" borderId="0" xfId="58" applyFont="1" applyBorder="1" applyAlignment="1" applyProtection="1">
      <alignment horizontal="left"/>
      <protection hidden="1"/>
    </xf>
    <xf numFmtId="0" fontId="24" fillId="0" borderId="0" xfId="59" applyFont="1">
      <alignment/>
      <protection/>
    </xf>
    <xf numFmtId="0" fontId="24" fillId="0" borderId="0" xfId="59" applyFont="1" applyAlignment="1">
      <alignment horizontal="center"/>
      <protection/>
    </xf>
    <xf numFmtId="0" fontId="24" fillId="0" borderId="0" xfId="58" applyFont="1" applyProtection="1">
      <alignment/>
      <protection hidden="1"/>
    </xf>
    <xf numFmtId="0" fontId="6" fillId="0" borderId="0" xfId="59" applyFont="1">
      <alignment/>
      <protection/>
    </xf>
    <xf numFmtId="49" fontId="43" fillId="0" borderId="0" xfId="59" applyNumberFormat="1" applyFont="1" applyAlignment="1">
      <alignment horizontal="right"/>
      <protection/>
    </xf>
    <xf numFmtId="0" fontId="43" fillId="0" borderId="17" xfId="59" applyFont="1" applyBorder="1">
      <alignment/>
      <protection/>
    </xf>
    <xf numFmtId="49" fontId="0" fillId="0" borderId="0" xfId="36" applyNumberFormat="1" applyFont="1" applyFill="1" applyAlignment="1">
      <alignment horizontal="center" vertical="center" wrapText="1"/>
      <protection/>
    </xf>
    <xf numFmtId="0" fontId="0" fillId="0" borderId="0" xfId="36" applyFont="1" applyAlignment="1">
      <alignment horizontal="center" vertical="center" wrapText="1"/>
      <protection/>
    </xf>
    <xf numFmtId="0" fontId="0" fillId="0" borderId="0" xfId="36" applyFont="1" applyAlignment="1">
      <alignment horizontal="right" vertical="center" wrapText="1"/>
      <protection/>
    </xf>
    <xf numFmtId="0" fontId="17" fillId="0" borderId="0" xfId="36" applyFont="1" applyAlignment="1">
      <alignment horizontal="right"/>
      <protection/>
    </xf>
    <xf numFmtId="0" fontId="17" fillId="0" borderId="0" xfId="36" applyFont="1" applyAlignment="1">
      <alignment horizontal="center"/>
      <protection/>
    </xf>
    <xf numFmtId="0" fontId="0" fillId="0" borderId="18" xfId="36" applyFont="1" applyBorder="1" applyAlignment="1">
      <alignment horizontal="right" vertical="center" wrapText="1"/>
      <protection/>
    </xf>
    <xf numFmtId="2" fontId="0" fillId="0" borderId="0" xfId="36" applyNumberFormat="1" applyFont="1" applyAlignment="1">
      <alignment horizontal="right" vertical="center" wrapText="1"/>
      <protection/>
    </xf>
    <xf numFmtId="0" fontId="0" fillId="0" borderId="0" xfId="36" applyFont="1" applyBorder="1" applyAlignment="1">
      <alignment horizontal="center" vertical="center" wrapText="1"/>
      <protection/>
    </xf>
    <xf numFmtId="0" fontId="0" fillId="0" borderId="16" xfId="36" applyFont="1" applyBorder="1" applyAlignment="1">
      <alignment horizontal="center" vertical="center" wrapText="1"/>
      <protection/>
    </xf>
    <xf numFmtId="0" fontId="0" fillId="0" borderId="10" xfId="36" applyFont="1" applyBorder="1" applyAlignment="1">
      <alignment horizontal="center" vertical="center" wrapText="1"/>
      <protection/>
    </xf>
    <xf numFmtId="0" fontId="11" fillId="9" borderId="19" xfId="36" applyFont="1" applyFill="1" applyBorder="1" applyAlignment="1">
      <alignment/>
      <protection/>
    </xf>
    <xf numFmtId="0" fontId="11" fillId="9" borderId="0" xfId="36" applyFont="1" applyFill="1" applyBorder="1" applyAlignment="1">
      <alignment/>
      <protection/>
    </xf>
    <xf numFmtId="0" fontId="11" fillId="9" borderId="20" xfId="36" applyFont="1" applyFill="1" applyBorder="1" applyAlignment="1">
      <alignment/>
      <protection/>
    </xf>
    <xf numFmtId="0" fontId="11" fillId="9" borderId="21" xfId="36" applyFont="1" applyFill="1" applyBorder="1" applyAlignment="1">
      <alignment/>
      <protection/>
    </xf>
    <xf numFmtId="49" fontId="6" fillId="0" borderId="22" xfId="36" applyNumberFormat="1" applyFont="1" applyFill="1" applyBorder="1" applyAlignment="1" applyProtection="1">
      <alignment horizontal="center" vertical="center" wrapText="1"/>
      <protection/>
    </xf>
    <xf numFmtId="0" fontId="0" fillId="0" borderId="10" xfId="36" applyFont="1" applyFill="1" applyBorder="1" applyAlignment="1" applyProtection="1">
      <alignment vertical="center" wrapText="1"/>
      <protection/>
    </xf>
    <xf numFmtId="0" fontId="0" fillId="0" borderId="11" xfId="36" applyFont="1" applyFill="1" applyBorder="1" applyAlignment="1" applyProtection="1">
      <alignment horizontal="center" vertical="center" wrapText="1"/>
      <protection/>
    </xf>
    <xf numFmtId="0" fontId="4" fillId="0" borderId="16" xfId="36" applyFont="1" applyFill="1" applyBorder="1" applyAlignment="1">
      <alignment horizontal="right" vertical="center"/>
      <protection/>
    </xf>
    <xf numFmtId="0" fontId="4" fillId="0" borderId="22" xfId="36" applyFont="1" applyFill="1" applyBorder="1" applyAlignment="1">
      <alignment horizontal="right" vertical="center"/>
      <protection/>
    </xf>
    <xf numFmtId="0" fontId="4" fillId="0" borderId="10" xfId="36" applyFont="1" applyFill="1" applyBorder="1" applyAlignment="1">
      <alignment horizontal="center" vertical="center" wrapText="1"/>
      <protection/>
    </xf>
    <xf numFmtId="0" fontId="4" fillId="0" borderId="16" xfId="36" applyFont="1" applyFill="1" applyBorder="1" applyAlignment="1">
      <alignment horizontal="center" vertical="center" wrapText="1"/>
      <protection/>
    </xf>
    <xf numFmtId="0" fontId="4" fillId="0" borderId="0" xfId="36" applyFont="1" applyFill="1" applyAlignment="1">
      <alignment horizontal="center" vertical="center" wrapText="1"/>
      <protection/>
    </xf>
    <xf numFmtId="0" fontId="4" fillId="18" borderId="10" xfId="36" applyFont="1" applyFill="1" applyBorder="1" applyAlignment="1">
      <alignment horizontal="left" vertical="center" wrapText="1"/>
      <protection/>
    </xf>
    <xf numFmtId="2" fontId="8" fillId="0" borderId="16" xfId="36" applyNumberFormat="1" applyFont="1" applyFill="1" applyBorder="1" applyAlignment="1">
      <alignment horizontal="right" vertical="center"/>
      <protection/>
    </xf>
    <xf numFmtId="2" fontId="4" fillId="0" borderId="23" xfId="36" applyNumberFormat="1" applyFont="1" applyFill="1" applyBorder="1" applyAlignment="1">
      <alignment horizontal="right" vertical="center"/>
      <protection/>
    </xf>
    <xf numFmtId="2" fontId="4" fillId="0" borderId="16" xfId="36" applyNumberFormat="1" applyFont="1" applyFill="1" applyBorder="1" applyAlignment="1">
      <alignment horizontal="right" vertical="center"/>
      <protection/>
    </xf>
    <xf numFmtId="2" fontId="8" fillId="19" borderId="16" xfId="36" applyNumberFormat="1" applyFont="1" applyFill="1" applyBorder="1" applyAlignment="1">
      <alignment horizontal="right" vertical="center"/>
      <protection/>
    </xf>
    <xf numFmtId="0" fontId="8" fillId="20" borderId="10" xfId="36" applyFont="1" applyFill="1" applyBorder="1" applyAlignment="1">
      <alignment horizontal="left" vertical="center" wrapText="1"/>
      <protection/>
    </xf>
    <xf numFmtId="49" fontId="8" fillId="0" borderId="22" xfId="36" applyNumberFormat="1" applyFont="1" applyFill="1" applyBorder="1" applyAlignment="1">
      <alignment horizontal="center" vertical="center" wrapText="1"/>
      <protection/>
    </xf>
    <xf numFmtId="0" fontId="11" fillId="0" borderId="11" xfId="36" applyFont="1" applyFill="1" applyBorder="1" applyAlignment="1">
      <alignment horizontal="center" vertical="center"/>
      <protection/>
    </xf>
    <xf numFmtId="0" fontId="6" fillId="0" borderId="10" xfId="36" applyFont="1" applyFill="1" applyBorder="1" applyAlignment="1" applyProtection="1">
      <alignment horizontal="center" vertical="center" wrapText="1"/>
      <protection/>
    </xf>
    <xf numFmtId="49" fontId="4" fillId="0" borderId="22" xfId="36" applyNumberFormat="1" applyFont="1" applyFill="1" applyBorder="1" applyAlignment="1">
      <alignment horizontal="center"/>
      <protection/>
    </xf>
    <xf numFmtId="0" fontId="4" fillId="0" borderId="10" xfId="36" applyFont="1" applyFill="1" applyBorder="1" applyAlignment="1" applyProtection="1">
      <alignment horizontal="left" vertical="center" wrapText="1"/>
      <protection/>
    </xf>
    <xf numFmtId="0" fontId="4" fillId="0" borderId="11" xfId="36" applyFont="1" applyFill="1" applyBorder="1" applyAlignment="1">
      <alignment horizontal="center" vertical="center"/>
      <protection/>
    </xf>
    <xf numFmtId="2" fontId="4" fillId="0" borderId="22" xfId="36" applyNumberFormat="1" applyFont="1" applyFill="1" applyBorder="1" applyAlignment="1">
      <alignment horizontal="right" vertical="center"/>
      <protection/>
    </xf>
    <xf numFmtId="2" fontId="4" fillId="0" borderId="11" xfId="36" applyNumberFormat="1" applyFont="1" applyFill="1" applyBorder="1" applyAlignment="1">
      <alignment horizontal="right" vertical="center"/>
      <protection/>
    </xf>
    <xf numFmtId="0" fontId="4" fillId="0" borderId="10" xfId="36" applyFont="1" applyFill="1" applyBorder="1" applyAlignment="1">
      <alignment horizontal="center" vertical="center"/>
      <protection/>
    </xf>
    <xf numFmtId="0" fontId="4" fillId="0" borderId="16" xfId="36" applyFont="1" applyFill="1" applyBorder="1">
      <alignment/>
      <protection/>
    </xf>
    <xf numFmtId="0" fontId="4" fillId="0" borderId="0" xfId="36" applyFont="1" applyFill="1">
      <alignment/>
      <protection/>
    </xf>
    <xf numFmtId="49" fontId="11" fillId="0" borderId="22" xfId="36" applyNumberFormat="1" applyFont="1" applyFill="1" applyBorder="1" applyAlignment="1">
      <alignment horizontal="center"/>
      <protection/>
    </xf>
    <xf numFmtId="0" fontId="8" fillId="19" borderId="10" xfId="36" applyFont="1" applyFill="1" applyBorder="1" applyAlignment="1">
      <alignment horizontal="left" vertical="center" wrapText="1"/>
      <protection/>
    </xf>
    <xf numFmtId="0" fontId="11" fillId="19" borderId="11" xfId="36" applyFont="1" applyFill="1" applyBorder="1" applyAlignment="1">
      <alignment horizontal="center" vertical="center"/>
      <protection/>
    </xf>
    <xf numFmtId="2" fontId="4" fillId="19" borderId="23" xfId="36" applyNumberFormat="1" applyFont="1" applyFill="1" applyBorder="1" applyAlignment="1">
      <alignment horizontal="right" vertical="center"/>
      <protection/>
    </xf>
    <xf numFmtId="2" fontId="4" fillId="19" borderId="22" xfId="36" applyNumberFormat="1" applyFont="1" applyFill="1" applyBorder="1" applyAlignment="1">
      <alignment horizontal="right" vertical="center"/>
      <protection/>
    </xf>
    <xf numFmtId="2" fontId="4" fillId="19" borderId="11" xfId="36" applyNumberFormat="1" applyFont="1" applyFill="1" applyBorder="1" applyAlignment="1">
      <alignment horizontal="right" vertical="center"/>
      <protection/>
    </xf>
    <xf numFmtId="49" fontId="4" fillId="0" borderId="22" xfId="36" applyNumberFormat="1" applyFont="1" applyFill="1" applyBorder="1" applyAlignment="1">
      <alignment horizontal="center" vertical="center"/>
      <protection/>
    </xf>
    <xf numFmtId="0" fontId="4" fillId="0" borderId="10" xfId="36" applyFont="1" applyFill="1" applyBorder="1" applyAlignment="1">
      <alignment horizontal="center"/>
      <protection/>
    </xf>
    <xf numFmtId="0" fontId="4" fillId="0" borderId="0" xfId="36" applyFont="1">
      <alignment/>
      <protection/>
    </xf>
    <xf numFmtId="0" fontId="4" fillId="0" borderId="10" xfId="36" applyFont="1" applyFill="1" applyBorder="1" applyAlignment="1">
      <alignment horizontal="left" vertical="center" wrapText="1"/>
      <protection/>
    </xf>
    <xf numFmtId="49" fontId="8" fillId="0" borderId="22" xfId="36" applyNumberFormat="1" applyFont="1" applyFill="1" applyBorder="1" applyAlignment="1" applyProtection="1">
      <alignment horizontal="center" vertical="center" wrapText="1"/>
      <protection/>
    </xf>
    <xf numFmtId="0" fontId="8" fillId="0" borderId="10" xfId="36" applyFont="1" applyFill="1" applyBorder="1" applyAlignment="1">
      <alignment horizontal="center" vertical="center" wrapText="1"/>
      <protection/>
    </xf>
    <xf numFmtId="49" fontId="4" fillId="0" borderId="22" xfId="36" applyNumberFormat="1" applyFont="1" applyFill="1" applyBorder="1" applyAlignment="1" applyProtection="1">
      <alignment horizontal="center" vertical="center" wrapText="1"/>
      <protection/>
    </xf>
    <xf numFmtId="0" fontId="4" fillId="21" borderId="11" xfId="36" applyFont="1" applyFill="1" applyBorder="1" applyAlignment="1">
      <alignment horizontal="center" vertical="center"/>
      <protection/>
    </xf>
    <xf numFmtId="2" fontId="4" fillId="21" borderId="16" xfId="36" applyNumberFormat="1" applyFont="1" applyFill="1" applyBorder="1" applyAlignment="1">
      <alignment horizontal="right" vertical="center"/>
      <protection/>
    </xf>
    <xf numFmtId="2" fontId="4" fillId="21" borderId="22" xfId="36" applyNumberFormat="1" applyFont="1" applyFill="1" applyBorder="1" applyAlignment="1">
      <alignment horizontal="right" vertical="center"/>
      <protection/>
    </xf>
    <xf numFmtId="0" fontId="4" fillId="0" borderId="24" xfId="36" applyFont="1" applyFill="1" applyBorder="1" applyAlignment="1">
      <alignment horizontal="center" vertical="center"/>
      <protection/>
    </xf>
    <xf numFmtId="0" fontId="4" fillId="0" borderId="24" xfId="36" applyFont="1" applyFill="1" applyBorder="1" applyAlignment="1">
      <alignment horizontal="center" vertical="center" wrapText="1"/>
      <protection/>
    </xf>
    <xf numFmtId="0" fontId="4" fillId="0" borderId="25" xfId="36" applyFont="1" applyFill="1" applyBorder="1" applyAlignment="1">
      <alignment horizontal="center" vertical="center"/>
      <protection/>
    </xf>
    <xf numFmtId="0" fontId="8" fillId="17" borderId="10" xfId="36" applyFont="1" applyFill="1" applyBorder="1" applyAlignment="1">
      <alignment horizontal="left" vertical="center" wrapText="1"/>
      <protection/>
    </xf>
    <xf numFmtId="2" fontId="8" fillId="17" borderId="16" xfId="36" applyNumberFormat="1" applyFont="1" applyFill="1" applyBorder="1" applyAlignment="1">
      <alignment horizontal="right" vertical="center"/>
      <protection/>
    </xf>
    <xf numFmtId="2" fontId="4" fillId="17" borderId="22" xfId="36" applyNumberFormat="1" applyFont="1" applyFill="1" applyBorder="1" applyAlignment="1">
      <alignment horizontal="right" vertical="center"/>
      <protection/>
    </xf>
    <xf numFmtId="0" fontId="8" fillId="0" borderId="10" xfId="36" applyFont="1" applyFill="1" applyBorder="1" applyAlignment="1">
      <alignment horizontal="left" vertical="center" wrapText="1"/>
      <protection/>
    </xf>
    <xf numFmtId="0" fontId="4" fillId="21" borderId="10" xfId="36" applyFont="1" applyFill="1" applyBorder="1" applyAlignment="1" applyProtection="1">
      <alignment horizontal="left" vertical="center" wrapText="1"/>
      <protection/>
    </xf>
    <xf numFmtId="2" fontId="4" fillId="21" borderId="11" xfId="36" applyNumberFormat="1" applyFont="1" applyFill="1" applyBorder="1" applyAlignment="1">
      <alignment horizontal="right" vertical="center"/>
      <protection/>
    </xf>
    <xf numFmtId="49" fontId="4" fillId="0" borderId="22" xfId="36" applyNumberFormat="1" applyFont="1" applyFill="1" applyBorder="1" applyAlignment="1">
      <alignment horizontal="center" vertical="center" wrapText="1"/>
      <protection/>
    </xf>
    <xf numFmtId="0" fontId="8" fillId="17" borderId="25" xfId="36" applyFont="1" applyFill="1" applyBorder="1" applyAlignment="1">
      <alignment horizontal="left" vertical="center" wrapText="1"/>
      <protection/>
    </xf>
    <xf numFmtId="0" fontId="11" fillId="17" borderId="26" xfId="36" applyFont="1" applyFill="1" applyBorder="1" applyAlignment="1">
      <alignment horizontal="center" vertical="center"/>
      <protection/>
    </xf>
    <xf numFmtId="2" fontId="8" fillId="17" borderId="15" xfId="36" applyNumberFormat="1" applyFont="1" applyFill="1" applyBorder="1" applyAlignment="1">
      <alignment horizontal="right" vertical="center"/>
      <protection/>
    </xf>
    <xf numFmtId="2" fontId="4" fillId="17" borderId="27" xfId="36" applyNumberFormat="1" applyFont="1" applyFill="1" applyBorder="1" applyAlignment="1">
      <alignment horizontal="right" vertical="center"/>
      <protection/>
    </xf>
    <xf numFmtId="0" fontId="8" fillId="21" borderId="28" xfId="36" applyFont="1" applyFill="1" applyBorder="1" applyAlignment="1">
      <alignment vertical="center"/>
      <protection/>
    </xf>
    <xf numFmtId="0" fontId="8" fillId="21" borderId="29" xfId="36" applyFont="1" applyFill="1" applyBorder="1" applyAlignment="1">
      <alignment vertical="center"/>
      <protection/>
    </xf>
    <xf numFmtId="0" fontId="8" fillId="21" borderId="29" xfId="36" applyFont="1" applyFill="1" applyBorder="1" applyAlignment="1">
      <alignment horizontal="center" vertical="center"/>
      <protection/>
    </xf>
    <xf numFmtId="2" fontId="8" fillId="21" borderId="30" xfId="36" applyNumberFormat="1" applyFont="1" applyFill="1" applyBorder="1" applyAlignment="1">
      <alignment horizontal="right" vertical="center"/>
      <protection/>
    </xf>
    <xf numFmtId="2" fontId="4" fillId="21" borderId="31" xfId="36" applyNumberFormat="1" applyFont="1" applyFill="1" applyBorder="1" applyAlignment="1">
      <alignment horizontal="right" vertical="center"/>
      <protection/>
    </xf>
    <xf numFmtId="0" fontId="0" fillId="0" borderId="0" xfId="36" applyFont="1" applyFill="1" applyAlignment="1">
      <alignment horizontal="center" vertical="center" wrapText="1"/>
      <protection/>
    </xf>
    <xf numFmtId="2" fontId="0" fillId="0" borderId="0" xfId="36" applyNumberFormat="1" applyFont="1" applyFill="1" applyAlignment="1">
      <alignment horizontal="center" vertical="center" wrapText="1"/>
      <protection/>
    </xf>
    <xf numFmtId="0" fontId="11" fillId="9" borderId="19" xfId="36" applyFont="1" applyFill="1" applyBorder="1" applyAlignment="1">
      <alignment vertical="center"/>
      <protection/>
    </xf>
    <xf numFmtId="0" fontId="11" fillId="9" borderId="0" xfId="36" applyFont="1" applyFill="1" applyBorder="1" applyAlignment="1">
      <alignment vertical="center"/>
      <protection/>
    </xf>
    <xf numFmtId="2" fontId="4" fillId="9" borderId="32" xfId="36" applyNumberFormat="1" applyFont="1" applyFill="1" applyBorder="1" applyAlignment="1">
      <alignment vertical="center"/>
      <protection/>
    </xf>
    <xf numFmtId="2" fontId="4" fillId="9" borderId="33" xfId="36" applyNumberFormat="1" applyFont="1" applyFill="1" applyBorder="1" applyAlignment="1">
      <alignment vertical="center"/>
      <protection/>
    </xf>
    <xf numFmtId="2" fontId="4" fillId="9" borderId="20" xfId="36" applyNumberFormat="1" applyFont="1" applyFill="1" applyBorder="1" applyAlignment="1">
      <alignment vertical="center"/>
      <protection/>
    </xf>
    <xf numFmtId="0" fontId="11" fillId="9" borderId="10" xfId="36" applyFont="1" applyFill="1" applyBorder="1" applyAlignment="1">
      <alignment horizontal="center" vertical="center"/>
      <protection/>
    </xf>
    <xf numFmtId="0" fontId="11" fillId="9" borderId="16" xfId="36" applyFont="1" applyFill="1" applyBorder="1" applyAlignment="1">
      <alignment vertical="center"/>
      <protection/>
    </xf>
    <xf numFmtId="0" fontId="4" fillId="0" borderId="0" xfId="36" applyFont="1" applyAlignment="1">
      <alignment horizontal="center" vertical="center" wrapText="1"/>
      <protection/>
    </xf>
    <xf numFmtId="0" fontId="8" fillId="0" borderId="10" xfId="36" applyFont="1" applyBorder="1" applyAlignment="1">
      <alignment horizontal="left" vertical="center" wrapText="1"/>
      <protection/>
    </xf>
    <xf numFmtId="0" fontId="4" fillId="19" borderId="11" xfId="36" applyFont="1" applyFill="1" applyBorder="1" applyAlignment="1">
      <alignment horizontal="center" vertical="center"/>
      <protection/>
    </xf>
    <xf numFmtId="2" fontId="8" fillId="19" borderId="21" xfId="36" applyNumberFormat="1" applyFont="1" applyFill="1" applyBorder="1" applyAlignment="1">
      <alignment horizontal="right" vertical="center"/>
      <protection/>
    </xf>
    <xf numFmtId="49" fontId="8" fillId="0" borderId="22" xfId="36" applyNumberFormat="1" applyFont="1" applyFill="1" applyBorder="1" applyAlignment="1">
      <alignment horizontal="center" vertical="center"/>
      <protection/>
    </xf>
    <xf numFmtId="2" fontId="4" fillId="2" borderId="23" xfId="36" applyNumberFormat="1" applyFont="1" applyFill="1" applyBorder="1" applyAlignment="1">
      <alignment horizontal="right" vertical="center"/>
      <protection/>
    </xf>
    <xf numFmtId="0" fontId="4" fillId="0" borderId="10" xfId="36" applyFont="1" applyFill="1" applyBorder="1" applyAlignment="1">
      <alignment horizontal="left" vertical="center"/>
      <protection/>
    </xf>
    <xf numFmtId="2" fontId="4" fillId="0" borderId="22" xfId="36" applyNumberFormat="1" applyFont="1" applyFill="1" applyBorder="1" applyAlignment="1">
      <alignment horizontal="right" vertical="center" wrapText="1"/>
      <protection/>
    </xf>
    <xf numFmtId="0" fontId="8" fillId="21" borderId="10" xfId="36" applyFont="1" applyFill="1" applyBorder="1" applyAlignment="1">
      <alignment horizontal="left" vertical="center" wrapText="1"/>
      <protection/>
    </xf>
    <xf numFmtId="0" fontId="4" fillId="0" borderId="24" xfId="36" applyFont="1" applyFill="1" applyBorder="1">
      <alignment/>
      <protection/>
    </xf>
    <xf numFmtId="0" fontId="4" fillId="17" borderId="11" xfId="36" applyFont="1" applyFill="1" applyBorder="1" applyAlignment="1">
      <alignment horizontal="center" vertical="center"/>
      <protection/>
    </xf>
    <xf numFmtId="0" fontId="23" fillId="0" borderId="10" xfId="36" applyFont="1" applyFill="1" applyBorder="1" applyAlignment="1">
      <alignment horizontal="left" vertical="center" wrapText="1"/>
      <protection/>
    </xf>
    <xf numFmtId="0" fontId="4" fillId="2" borderId="11" xfId="36" applyFont="1" applyFill="1" applyBorder="1" applyAlignment="1">
      <alignment horizontal="center" vertical="center"/>
      <protection/>
    </xf>
    <xf numFmtId="0" fontId="4" fillId="0" borderId="11" xfId="36" applyFont="1" applyFill="1" applyBorder="1" applyAlignment="1">
      <alignment horizontal="center" vertical="center" wrapText="1"/>
      <protection/>
    </xf>
    <xf numFmtId="2" fontId="4" fillId="0" borderId="23" xfId="36" applyNumberFormat="1" applyFont="1" applyFill="1" applyBorder="1" applyAlignment="1">
      <alignment horizontal="right" vertical="center" wrapText="1"/>
      <protection/>
    </xf>
    <xf numFmtId="0" fontId="4" fillId="0" borderId="25" xfId="36" applyFont="1" applyFill="1" applyBorder="1" applyAlignment="1">
      <alignment horizontal="left" vertical="center" wrapText="1"/>
      <protection/>
    </xf>
    <xf numFmtId="2" fontId="4" fillId="0" borderId="34" xfId="36" applyNumberFormat="1" applyFont="1" applyFill="1" applyBorder="1" applyAlignment="1">
      <alignment horizontal="right" vertical="center" wrapText="1"/>
      <protection/>
    </xf>
    <xf numFmtId="2" fontId="4" fillId="0" borderId="35" xfId="36" applyNumberFormat="1" applyFont="1" applyFill="1" applyBorder="1" applyAlignment="1">
      <alignment horizontal="right" vertical="center"/>
      <protection/>
    </xf>
    <xf numFmtId="2" fontId="4" fillId="0" borderId="27" xfId="36" applyNumberFormat="1" applyFont="1" applyFill="1" applyBorder="1" applyAlignment="1">
      <alignment horizontal="right" vertical="center" wrapText="1"/>
      <protection/>
    </xf>
    <xf numFmtId="2" fontId="4" fillId="0" borderId="26" xfId="36" applyNumberFormat="1" applyFont="1" applyFill="1" applyBorder="1" applyAlignment="1">
      <alignment horizontal="right" vertical="center"/>
      <protection/>
    </xf>
    <xf numFmtId="49" fontId="4" fillId="0" borderId="27" xfId="36" applyNumberFormat="1" applyFont="1" applyFill="1" applyBorder="1" applyAlignment="1">
      <alignment horizontal="center"/>
      <protection/>
    </xf>
    <xf numFmtId="0" fontId="4" fillId="17" borderId="26" xfId="36" applyFont="1" applyFill="1" applyBorder="1" applyAlignment="1">
      <alignment horizontal="center" vertical="center"/>
      <protection/>
    </xf>
    <xf numFmtId="2" fontId="8" fillId="17" borderId="35" xfId="36" applyNumberFormat="1" applyFont="1" applyFill="1" applyBorder="1" applyAlignment="1">
      <alignment horizontal="right" vertical="center"/>
      <protection/>
    </xf>
    <xf numFmtId="2" fontId="4" fillId="9" borderId="32" xfId="36" applyNumberFormat="1" applyFont="1" applyFill="1" applyBorder="1" applyAlignment="1">
      <alignment/>
      <protection/>
    </xf>
    <xf numFmtId="2" fontId="4" fillId="9" borderId="33" xfId="36" applyNumberFormat="1" applyFont="1" applyFill="1" applyBorder="1" applyAlignment="1">
      <alignment/>
      <protection/>
    </xf>
    <xf numFmtId="2" fontId="4" fillId="9" borderId="20" xfId="36" applyNumberFormat="1" applyFont="1" applyFill="1" applyBorder="1" applyAlignment="1">
      <alignment/>
      <protection/>
    </xf>
    <xf numFmtId="0" fontId="11" fillId="9" borderId="10" xfId="36" applyFont="1" applyFill="1" applyBorder="1" applyAlignment="1">
      <alignment horizontal="center"/>
      <protection/>
    </xf>
    <xf numFmtId="0" fontId="11" fillId="9" borderId="16" xfId="36" applyFont="1" applyFill="1" applyBorder="1" applyAlignment="1">
      <alignment/>
      <protection/>
    </xf>
    <xf numFmtId="0" fontId="20" fillId="0" borderId="10" xfId="36" applyFont="1" applyFill="1" applyBorder="1" applyAlignment="1">
      <alignment horizontal="left" vertical="center" wrapText="1"/>
      <protection/>
    </xf>
    <xf numFmtId="2" fontId="4" fillId="0" borderId="23" xfId="36" applyNumberFormat="1" applyFont="1" applyFill="1" applyBorder="1" applyAlignment="1">
      <alignment horizontal="right"/>
      <protection/>
    </xf>
    <xf numFmtId="2" fontId="4" fillId="0" borderId="22" xfId="36" applyNumberFormat="1" applyFont="1" applyFill="1" applyBorder="1" applyAlignment="1">
      <alignment horizontal="right"/>
      <protection/>
    </xf>
    <xf numFmtId="0" fontId="20" fillId="0" borderId="10" xfId="36" applyFont="1" applyBorder="1" applyAlignment="1">
      <alignment horizontal="left" vertical="center" wrapText="1"/>
      <protection/>
    </xf>
    <xf numFmtId="0" fontId="4" fillId="0" borderId="11" xfId="36" applyFont="1" applyBorder="1" applyAlignment="1">
      <alignment horizontal="center" vertical="center"/>
      <protection/>
    </xf>
    <xf numFmtId="2" fontId="4" fillId="0" borderId="22" xfId="36" applyNumberFormat="1" applyFont="1" applyBorder="1" applyAlignment="1">
      <alignment horizontal="right"/>
      <protection/>
    </xf>
    <xf numFmtId="0" fontId="4" fillId="0" borderId="10" xfId="36" applyNumberFormat="1" applyFont="1" applyFill="1" applyBorder="1" applyAlignment="1" applyProtection="1">
      <alignment horizontal="center" vertical="top"/>
      <protection/>
    </xf>
    <xf numFmtId="0" fontId="4" fillId="0" borderId="16" xfId="36" applyNumberFormat="1" applyFont="1" applyFill="1" applyBorder="1" applyAlignment="1" applyProtection="1">
      <alignment vertical="top"/>
      <protection/>
    </xf>
    <xf numFmtId="0" fontId="4" fillId="0" borderId="0" xfId="36" applyNumberFormat="1" applyFont="1" applyFill="1" applyBorder="1" applyAlignment="1" applyProtection="1">
      <alignment vertical="top"/>
      <protection/>
    </xf>
    <xf numFmtId="0" fontId="4" fillId="0" borderId="11" xfId="36" applyFont="1" applyBorder="1" applyAlignment="1">
      <alignment horizontal="center" vertical="center" wrapText="1"/>
      <protection/>
    </xf>
    <xf numFmtId="0" fontId="13" fillId="0" borderId="16" xfId="36" applyNumberFormat="1" applyFont="1" applyFill="1" applyBorder="1" applyAlignment="1" applyProtection="1">
      <alignment vertical="top"/>
      <protection/>
    </xf>
    <xf numFmtId="0" fontId="13" fillId="0" borderId="0" xfId="36" applyNumberFormat="1" applyFont="1" applyFill="1" applyBorder="1" applyAlignment="1" applyProtection="1">
      <alignment vertical="top"/>
      <protection/>
    </xf>
    <xf numFmtId="2" fontId="4" fillId="0" borderId="23" xfId="36" applyNumberFormat="1" applyFont="1" applyFill="1" applyBorder="1" applyAlignment="1" applyProtection="1">
      <alignment horizontal="right" vertical="center"/>
      <protection/>
    </xf>
    <xf numFmtId="0" fontId="20" fillId="21" borderId="10" xfId="36" applyFont="1" applyFill="1" applyBorder="1" applyAlignment="1">
      <alignment horizontal="left" vertical="center" wrapText="1"/>
      <protection/>
    </xf>
    <xf numFmtId="0" fontId="4" fillId="21" borderId="11" xfId="36" applyFont="1" applyFill="1" applyBorder="1" applyAlignment="1">
      <alignment horizontal="center" vertical="center" wrapText="1"/>
      <protection/>
    </xf>
    <xf numFmtId="2" fontId="4" fillId="21" borderId="22" xfId="36" applyNumberFormat="1" applyFont="1" applyFill="1" applyBorder="1" applyAlignment="1">
      <alignment horizontal="right"/>
      <protection/>
    </xf>
    <xf numFmtId="49" fontId="4" fillId="0" borderId="22" xfId="36" applyNumberFormat="1" applyFont="1" applyFill="1" applyBorder="1" applyAlignment="1" applyProtection="1">
      <alignment horizontal="center" vertical="center"/>
      <protection/>
    </xf>
    <xf numFmtId="2" fontId="4" fillId="0" borderId="22" xfId="36" applyNumberFormat="1" applyFont="1" applyFill="1" applyBorder="1" applyAlignment="1" applyProtection="1">
      <alignment horizontal="right" vertical="center"/>
      <protection/>
    </xf>
    <xf numFmtId="0" fontId="4" fillId="19" borderId="11" xfId="36" applyFont="1" applyFill="1" applyBorder="1" applyAlignment="1">
      <alignment horizontal="center" vertical="center" wrapText="1"/>
      <protection/>
    </xf>
    <xf numFmtId="2" fontId="4" fillId="17" borderId="36" xfId="36" applyNumberFormat="1" applyFont="1" applyFill="1" applyBorder="1" applyAlignment="1">
      <alignment horizontal="right" vertical="center"/>
      <protection/>
    </xf>
    <xf numFmtId="0" fontId="4" fillId="0" borderId="37" xfId="36" applyFont="1" applyFill="1" applyBorder="1" applyAlignment="1">
      <alignment vertical="center"/>
      <protection/>
    </xf>
    <xf numFmtId="2" fontId="4" fillId="9" borderId="38" xfId="36" applyNumberFormat="1" applyFont="1" applyFill="1" applyBorder="1" applyAlignment="1">
      <alignment vertical="center"/>
      <protection/>
    </xf>
    <xf numFmtId="2" fontId="4" fillId="9" borderId="39" xfId="36" applyNumberFormat="1" applyFont="1" applyFill="1" applyBorder="1" applyAlignment="1">
      <alignment vertical="center"/>
      <protection/>
    </xf>
    <xf numFmtId="0" fontId="4" fillId="0" borderId="10" xfId="36" applyNumberFormat="1" applyFont="1" applyFill="1" applyBorder="1" applyAlignment="1" applyProtection="1">
      <alignment horizontal="center" vertical="center"/>
      <protection/>
    </xf>
    <xf numFmtId="0" fontId="4" fillId="0" borderId="16" xfId="36" applyNumberFormat="1" applyFont="1" applyFill="1" applyBorder="1" applyAlignment="1" applyProtection="1">
      <alignment horizontal="center" vertical="center"/>
      <protection/>
    </xf>
    <xf numFmtId="0" fontId="4" fillId="0" borderId="0" xfId="36" applyNumberFormat="1" applyFont="1" applyFill="1" applyBorder="1" applyAlignment="1" applyProtection="1">
      <alignment horizontal="center" vertical="center"/>
      <protection/>
    </xf>
    <xf numFmtId="2" fontId="4" fillId="19" borderId="11" xfId="36" applyNumberFormat="1" applyFont="1" applyFill="1" applyBorder="1" applyAlignment="1">
      <alignment horizontal="center" vertical="center"/>
      <protection/>
    </xf>
    <xf numFmtId="0" fontId="8" fillId="0" borderId="11" xfId="36" applyFont="1" applyFill="1" applyBorder="1" applyAlignment="1">
      <alignment horizontal="center" vertical="center" wrapText="1"/>
      <protection/>
    </xf>
    <xf numFmtId="2" fontId="8" fillId="0" borderId="11" xfId="36" applyNumberFormat="1" applyFont="1" applyFill="1" applyBorder="1" applyAlignment="1">
      <alignment horizontal="center" vertical="center" wrapText="1"/>
      <protection/>
    </xf>
    <xf numFmtId="0" fontId="13" fillId="0" borderId="16" xfId="36" applyNumberFormat="1" applyFont="1" applyFill="1" applyBorder="1" applyAlignment="1" applyProtection="1">
      <alignment horizontal="center" vertical="center"/>
      <protection/>
    </xf>
    <xf numFmtId="0" fontId="13" fillId="0" borderId="0" xfId="36" applyNumberFormat="1" applyFont="1" applyFill="1" applyBorder="1" applyAlignment="1" applyProtection="1">
      <alignment horizontal="center" vertical="center"/>
      <protection/>
    </xf>
    <xf numFmtId="2" fontId="4" fillId="17" borderId="11" xfId="36" applyNumberFormat="1" applyFont="1" applyFill="1" applyBorder="1" applyAlignment="1">
      <alignment horizontal="center" vertical="center"/>
      <protection/>
    </xf>
    <xf numFmtId="49" fontId="8" fillId="0" borderId="22" xfId="36" applyNumberFormat="1" applyFont="1" applyFill="1" applyBorder="1" applyAlignment="1" applyProtection="1">
      <alignment horizontal="center" vertical="center"/>
      <protection/>
    </xf>
    <xf numFmtId="2" fontId="4" fillId="0" borderId="11" xfId="36" applyNumberFormat="1" applyFont="1" applyFill="1" applyBorder="1" applyAlignment="1">
      <alignment horizontal="center" vertical="center"/>
      <protection/>
    </xf>
    <xf numFmtId="2" fontId="4" fillId="0" borderId="40" xfId="36" applyNumberFormat="1" applyFont="1" applyFill="1" applyBorder="1" applyAlignment="1">
      <alignment horizontal="right" vertical="center"/>
      <protection/>
    </xf>
    <xf numFmtId="2" fontId="4" fillId="0" borderId="41" xfId="36" applyNumberFormat="1" applyFont="1" applyFill="1" applyBorder="1" applyAlignment="1">
      <alignment horizontal="right" vertical="center"/>
      <protection/>
    </xf>
    <xf numFmtId="2" fontId="8" fillId="17" borderId="22" xfId="36" applyNumberFormat="1" applyFont="1" applyFill="1" applyBorder="1" applyAlignment="1">
      <alignment horizontal="right" vertical="center"/>
      <protection/>
    </xf>
    <xf numFmtId="2" fontId="8" fillId="17" borderId="23" xfId="36" applyNumberFormat="1" applyFont="1" applyFill="1" applyBorder="1" applyAlignment="1">
      <alignment horizontal="right" vertical="center"/>
      <protection/>
    </xf>
    <xf numFmtId="2" fontId="8" fillId="21" borderId="28" xfId="36" applyNumberFormat="1" applyFont="1" applyFill="1" applyBorder="1" applyAlignment="1">
      <alignment horizontal="right" vertical="center"/>
      <protection/>
    </xf>
    <xf numFmtId="2" fontId="8" fillId="21" borderId="42" xfId="36" applyNumberFormat="1" applyFont="1" applyFill="1" applyBorder="1" applyAlignment="1">
      <alignment horizontal="right" vertical="center"/>
      <protection/>
    </xf>
    <xf numFmtId="0" fontId="0" fillId="0" borderId="16" xfId="36" applyFont="1" applyFill="1" applyBorder="1" applyAlignment="1">
      <alignment horizontal="center" vertical="center" wrapText="1"/>
      <protection/>
    </xf>
    <xf numFmtId="0" fontId="8" fillId="0" borderId="11" xfId="36" applyFont="1" applyBorder="1" applyAlignment="1">
      <alignment horizontal="center" vertical="center" wrapText="1"/>
      <protection/>
    </xf>
    <xf numFmtId="49" fontId="8" fillId="0" borderId="22" xfId="36" applyNumberFormat="1" applyFont="1" applyFill="1" applyBorder="1" applyAlignment="1">
      <alignment horizontal="center"/>
      <protection/>
    </xf>
    <xf numFmtId="0" fontId="8" fillId="2" borderId="10" xfId="36" applyFont="1" applyFill="1" applyBorder="1" applyAlignment="1">
      <alignment horizontal="left" vertical="center" wrapText="1"/>
      <protection/>
    </xf>
    <xf numFmtId="0" fontId="10" fillId="2" borderId="11" xfId="36" applyFont="1" applyFill="1" applyBorder="1" applyAlignment="1">
      <alignment horizontal="center" vertical="center"/>
      <protection/>
    </xf>
    <xf numFmtId="0" fontId="4" fillId="2" borderId="25" xfId="36" applyFont="1" applyFill="1" applyBorder="1" applyAlignment="1">
      <alignment horizontal="left" vertical="center" wrapText="1"/>
      <protection/>
    </xf>
    <xf numFmtId="0" fontId="4" fillId="2" borderId="26" xfId="36" applyFont="1" applyFill="1" applyBorder="1" applyAlignment="1">
      <alignment horizontal="center" vertical="center"/>
      <protection/>
    </xf>
    <xf numFmtId="2" fontId="4" fillId="0" borderId="34" xfId="36" applyNumberFormat="1" applyFont="1" applyFill="1" applyBorder="1" applyAlignment="1">
      <alignment horizontal="right" vertical="center"/>
      <protection/>
    </xf>
    <xf numFmtId="2" fontId="4" fillId="0" borderId="27" xfId="36" applyNumberFormat="1" applyFont="1" applyFill="1" applyBorder="1" applyAlignment="1">
      <alignment horizontal="right" vertical="center"/>
      <protection/>
    </xf>
    <xf numFmtId="0" fontId="4" fillId="0" borderId="10" xfId="36" applyFont="1" applyFill="1" applyBorder="1" applyAlignment="1">
      <alignment vertical="center"/>
      <protection/>
    </xf>
    <xf numFmtId="2" fontId="4" fillId="0" borderId="43" xfId="36" applyNumberFormat="1" applyFont="1" applyFill="1" applyBorder="1" applyAlignment="1">
      <alignment horizontal="right" vertical="center"/>
      <protection/>
    </xf>
    <xf numFmtId="2" fontId="8" fillId="21" borderId="29" xfId="36" applyNumberFormat="1" applyFont="1" applyFill="1" applyBorder="1" applyAlignment="1">
      <alignment horizontal="center" vertical="center"/>
      <protection/>
    </xf>
    <xf numFmtId="0" fontId="4" fillId="0" borderId="10" xfId="36" applyFont="1" applyBorder="1" applyAlignment="1">
      <alignment horizontal="center" vertical="center" wrapText="1"/>
      <protection/>
    </xf>
    <xf numFmtId="49" fontId="4" fillId="0" borderId="27" xfId="36" applyNumberFormat="1" applyFont="1" applyFill="1" applyBorder="1" applyAlignment="1">
      <alignment horizontal="center" vertical="center"/>
      <protection/>
    </xf>
    <xf numFmtId="2" fontId="4" fillId="0" borderId="27" xfId="36" applyNumberFormat="1" applyFont="1" applyFill="1" applyBorder="1" applyAlignment="1" applyProtection="1">
      <alignment horizontal="right" vertical="center"/>
      <protection/>
    </xf>
    <xf numFmtId="2" fontId="0" fillId="0" borderId="0" xfId="36" applyNumberFormat="1" applyFont="1" applyAlignment="1">
      <alignment horizontal="center" vertical="center" wrapText="1"/>
      <protection/>
    </xf>
    <xf numFmtId="2" fontId="8" fillId="20" borderId="30" xfId="36" applyNumberFormat="1" applyFont="1" applyFill="1" applyBorder="1" applyAlignment="1">
      <alignment horizontal="right" vertical="center"/>
      <protection/>
    </xf>
    <xf numFmtId="2" fontId="0" fillId="0" borderId="0" xfId="36" applyNumberFormat="1" applyFont="1" applyFill="1" applyAlignment="1">
      <alignment horizontal="right" vertical="center" wrapText="1"/>
      <protection/>
    </xf>
    <xf numFmtId="0" fontId="0" fillId="0" borderId="0" xfId="36" applyFont="1" applyFill="1" applyAlignment="1">
      <alignment horizontal="right" vertical="center" wrapText="1"/>
      <protection/>
    </xf>
    <xf numFmtId="208" fontId="8" fillId="0" borderId="0" xfId="36" applyNumberFormat="1" applyFont="1" applyFill="1" applyBorder="1" applyAlignment="1">
      <alignment horizontal="right" vertical="center"/>
      <protection/>
    </xf>
    <xf numFmtId="208" fontId="0" fillId="0" borderId="0" xfId="36" applyNumberFormat="1" applyFont="1" applyFill="1" applyAlignment="1">
      <alignment horizontal="right" vertical="center" wrapText="1"/>
      <protection/>
    </xf>
    <xf numFmtId="49" fontId="0" fillId="0" borderId="0" xfId="36" applyNumberFormat="1" applyFont="1" applyFill="1" applyAlignment="1">
      <alignment horizontal="left" vertical="center"/>
      <protection/>
    </xf>
    <xf numFmtId="182" fontId="8" fillId="0" borderId="0" xfId="36" applyNumberFormat="1" applyFont="1" applyFill="1" applyBorder="1" applyAlignment="1">
      <alignment horizontal="right" vertical="center"/>
      <protection/>
    </xf>
    <xf numFmtId="187" fontId="0" fillId="0" borderId="0" xfId="36" applyNumberFormat="1" applyFont="1" applyFill="1" applyAlignment="1">
      <alignment horizontal="right" vertical="center" wrapText="1"/>
      <protection/>
    </xf>
    <xf numFmtId="1" fontId="0" fillId="0" borderId="0" xfId="36" applyNumberFormat="1" applyFont="1" applyFill="1" applyAlignment="1">
      <alignment horizontal="right" vertical="center" wrapText="1"/>
      <protection/>
    </xf>
    <xf numFmtId="1" fontId="0" fillId="0" borderId="0" xfId="36" applyNumberFormat="1" applyFont="1" applyAlignment="1">
      <alignment horizontal="right" vertical="center" wrapText="1"/>
      <protection/>
    </xf>
    <xf numFmtId="0" fontId="4" fillId="0" borderId="37" xfId="36" applyFont="1" applyFill="1" applyBorder="1" applyAlignment="1">
      <alignment horizontal="center" vertical="center" wrapText="1"/>
      <protection/>
    </xf>
    <xf numFmtId="2" fontId="4" fillId="0" borderId="0" xfId="34" applyNumberFormat="1" applyFont="1" applyProtection="1">
      <alignment/>
      <protection/>
    </xf>
    <xf numFmtId="192" fontId="24" fillId="0" borderId="0" xfId="34" applyNumberFormat="1" applyFont="1" applyFill="1" applyBorder="1" applyAlignment="1" applyProtection="1">
      <alignment horizontal="center" vertical="center"/>
      <protection hidden="1"/>
    </xf>
    <xf numFmtId="192" fontId="4" fillId="0" borderId="0" xfId="34" applyNumberFormat="1" applyFont="1" applyProtection="1">
      <alignment/>
      <protection/>
    </xf>
    <xf numFmtId="192" fontId="0" fillId="0" borderId="0" xfId="34" applyNumberFormat="1" applyFont="1" applyProtection="1">
      <alignment/>
      <protection/>
    </xf>
    <xf numFmtId="0" fontId="0" fillId="0" borderId="10" xfId="34" applyFont="1" applyBorder="1" applyAlignment="1" applyProtection="1">
      <alignment horizontal="center"/>
      <protection/>
    </xf>
    <xf numFmtId="0" fontId="0" fillId="0" borderId="16" xfId="34" applyFont="1" applyBorder="1" applyAlignment="1" applyProtection="1">
      <alignment horizontal="center"/>
      <protection/>
    </xf>
    <xf numFmtId="10" fontId="43" fillId="0" borderId="11" xfId="34" applyNumberFormat="1" applyFont="1" applyFill="1" applyBorder="1" applyAlignment="1" applyProtection="1">
      <alignment horizontal="center" vertical="center" wrapText="1"/>
      <protection/>
    </xf>
    <xf numFmtId="2" fontId="0" fillId="0" borderId="10" xfId="34" applyNumberFormat="1" applyFont="1" applyBorder="1" applyProtection="1">
      <alignment/>
      <protection/>
    </xf>
    <xf numFmtId="0" fontId="0" fillId="0" borderId="10" xfId="34" applyFont="1" applyBorder="1" applyProtection="1">
      <alignment/>
      <protection/>
    </xf>
    <xf numFmtId="2" fontId="43" fillId="0" borderId="10" xfId="34" applyNumberFormat="1" applyFont="1" applyFill="1" applyBorder="1" applyAlignment="1" applyProtection="1">
      <alignment horizontal="center" vertical="center" wrapText="1"/>
      <protection/>
    </xf>
    <xf numFmtId="188" fontId="0" fillId="0" borderId="10" xfId="34" applyNumberFormat="1" applyFont="1" applyBorder="1" applyProtection="1">
      <alignment/>
      <protection/>
    </xf>
    <xf numFmtId="0" fontId="0" fillId="0" borderId="44" xfId="34" applyFont="1" applyBorder="1" applyProtection="1">
      <alignment/>
      <protection/>
    </xf>
    <xf numFmtId="0" fontId="0" fillId="0" borderId="0" xfId="34" applyFont="1" applyBorder="1" applyAlignment="1" applyProtection="1">
      <alignment horizontal="right"/>
      <protection/>
    </xf>
    <xf numFmtId="10" fontId="0" fillId="0" borderId="0" xfId="34" applyNumberFormat="1" applyFont="1" applyBorder="1" applyProtection="1">
      <alignment/>
      <protection/>
    </xf>
    <xf numFmtId="4" fontId="0" fillId="0" borderId="0" xfId="34" applyNumberFormat="1" applyFont="1" applyBorder="1" applyProtection="1">
      <alignment/>
      <protection/>
    </xf>
    <xf numFmtId="188" fontId="0" fillId="0" borderId="0" xfId="34" applyNumberFormat="1" applyFont="1" applyBorder="1" applyProtection="1">
      <alignment/>
      <protection/>
    </xf>
    <xf numFmtId="4" fontId="0" fillId="0" borderId="16" xfId="34" applyNumberFormat="1" applyFont="1" applyBorder="1" applyProtection="1">
      <alignment/>
      <protection/>
    </xf>
    <xf numFmtId="0" fontId="0" fillId="0" borderId="13" xfId="34" applyFont="1" applyBorder="1" applyProtection="1">
      <alignment/>
      <protection/>
    </xf>
    <xf numFmtId="4" fontId="0" fillId="0" borderId="13" xfId="34" applyNumberFormat="1" applyFont="1" applyBorder="1" applyProtection="1">
      <alignment/>
      <protection/>
    </xf>
    <xf numFmtId="188" fontId="0" fillId="0" borderId="13" xfId="34" applyNumberFormat="1" applyFont="1" applyBorder="1" applyProtection="1">
      <alignment/>
      <protection/>
    </xf>
    <xf numFmtId="0" fontId="0" fillId="0" borderId="14" xfId="34" applyFont="1" applyBorder="1" applyProtection="1">
      <alignment/>
      <protection/>
    </xf>
    <xf numFmtId="2" fontId="0" fillId="0" borderId="14" xfId="34" applyNumberFormat="1" applyFont="1" applyBorder="1" applyProtection="1">
      <alignment/>
      <protection/>
    </xf>
    <xf numFmtId="0" fontId="4" fillId="0" borderId="0" xfId="36" applyFont="1" applyFill="1" applyBorder="1" applyAlignment="1">
      <alignment horizontal="center" vertical="center" wrapText="1"/>
      <protection/>
    </xf>
    <xf numFmtId="0" fontId="4" fillId="0" borderId="0" xfId="36" applyFont="1" applyFill="1" applyBorder="1" applyAlignment="1">
      <alignment vertical="center"/>
      <protection/>
    </xf>
    <xf numFmtId="0" fontId="4" fillId="0" borderId="0" xfId="36" applyFont="1" applyFill="1" applyBorder="1">
      <alignment/>
      <protection/>
    </xf>
    <xf numFmtId="2" fontId="4" fillId="9" borderId="38" xfId="36" applyNumberFormat="1" applyFont="1" applyFill="1" applyBorder="1" applyAlignment="1">
      <alignment/>
      <protection/>
    </xf>
    <xf numFmtId="2" fontId="4" fillId="9" borderId="39" xfId="36" applyNumberFormat="1" applyFont="1" applyFill="1" applyBorder="1" applyAlignment="1">
      <alignment/>
      <protection/>
    </xf>
    <xf numFmtId="2" fontId="8" fillId="19" borderId="24" xfId="36" applyNumberFormat="1" applyFont="1" applyFill="1" applyBorder="1" applyAlignment="1">
      <alignment horizontal="right" vertical="center"/>
      <protection/>
    </xf>
    <xf numFmtId="2" fontId="8" fillId="19" borderId="11" xfId="36" applyNumberFormat="1" applyFont="1" applyFill="1" applyBorder="1" applyAlignment="1">
      <alignment horizontal="right" vertical="center"/>
      <protection/>
    </xf>
    <xf numFmtId="2" fontId="4" fillId="2" borderId="22" xfId="36" applyNumberFormat="1" applyFont="1" applyFill="1" applyBorder="1" applyAlignment="1">
      <alignment horizontal="right" vertical="center"/>
      <protection/>
    </xf>
    <xf numFmtId="2" fontId="4" fillId="0" borderId="23" xfId="36" applyNumberFormat="1" applyFont="1" applyBorder="1" applyAlignment="1">
      <alignment horizontal="right"/>
      <protection/>
    </xf>
    <xf numFmtId="0" fontId="11" fillId="9" borderId="22" xfId="36" applyFont="1" applyFill="1" applyBorder="1" applyAlignment="1">
      <alignment/>
      <protection/>
    </xf>
    <xf numFmtId="2" fontId="8" fillId="19" borderId="22" xfId="36" applyNumberFormat="1" applyFont="1" applyFill="1" applyBorder="1" applyAlignment="1">
      <alignment horizontal="right" vertical="center"/>
      <protection/>
    </xf>
    <xf numFmtId="0" fontId="4" fillId="0" borderId="21" xfId="36" applyFont="1" applyFill="1" applyBorder="1">
      <alignment/>
      <protection/>
    </xf>
    <xf numFmtId="0" fontId="4" fillId="0" borderId="21" xfId="36" applyFont="1" applyFill="1" applyBorder="1" applyAlignment="1">
      <alignment horizontal="center" vertical="center" wrapText="1"/>
      <protection/>
    </xf>
    <xf numFmtId="0" fontId="13" fillId="0" borderId="21" xfId="36" applyNumberFormat="1" applyFont="1" applyFill="1" applyBorder="1" applyAlignment="1" applyProtection="1">
      <alignment vertical="top"/>
      <protection/>
    </xf>
    <xf numFmtId="2" fontId="4" fillId="9" borderId="45" xfId="36" applyNumberFormat="1" applyFont="1" applyFill="1" applyBorder="1" applyAlignment="1">
      <alignment/>
      <protection/>
    </xf>
    <xf numFmtId="0" fontId="11" fillId="21" borderId="11" xfId="36" applyFont="1" applyFill="1" applyBorder="1" applyAlignment="1">
      <alignment horizontal="center" vertical="center"/>
      <protection/>
    </xf>
    <xf numFmtId="2" fontId="4" fillId="21" borderId="23" xfId="36" applyNumberFormat="1" applyFont="1" applyFill="1" applyBorder="1" applyAlignment="1">
      <alignment horizontal="right" vertical="center"/>
      <protection/>
    </xf>
    <xf numFmtId="2" fontId="8" fillId="2" borderId="16" xfId="36" applyNumberFormat="1" applyFont="1" applyFill="1" applyBorder="1" applyAlignment="1">
      <alignment horizontal="right" vertical="center"/>
      <protection/>
    </xf>
    <xf numFmtId="0" fontId="4" fillId="2" borderId="10" xfId="36" applyFont="1" applyFill="1" applyBorder="1" applyAlignment="1">
      <alignment horizontal="center" vertical="center" wrapText="1"/>
      <protection/>
    </xf>
    <xf numFmtId="0" fontId="4" fillId="2" borderId="16" xfId="36" applyFont="1" applyFill="1" applyBorder="1" applyAlignment="1">
      <alignment horizontal="center" vertical="center" wrapText="1"/>
      <protection/>
    </xf>
    <xf numFmtId="0" fontId="4" fillId="2" borderId="0" xfId="36" applyFont="1" applyFill="1" applyAlignment="1">
      <alignment horizontal="center" vertical="center" wrapText="1"/>
      <protection/>
    </xf>
    <xf numFmtId="49" fontId="11" fillId="2" borderId="22" xfId="36" applyNumberFormat="1" applyFont="1" applyFill="1" applyBorder="1" applyAlignment="1">
      <alignment horizontal="center"/>
      <protection/>
    </xf>
    <xf numFmtId="0" fontId="11" fillId="2" borderId="11" xfId="36" applyFont="1" applyFill="1" applyBorder="1" applyAlignment="1">
      <alignment horizontal="center" vertical="center"/>
      <protection/>
    </xf>
    <xf numFmtId="49" fontId="4" fillId="2" borderId="22" xfId="36" applyNumberFormat="1" applyFont="1" applyFill="1" applyBorder="1" applyAlignment="1">
      <alignment horizontal="center" vertical="center"/>
      <protection/>
    </xf>
    <xf numFmtId="2" fontId="4" fillId="2" borderId="11" xfId="36" applyNumberFormat="1" applyFont="1" applyFill="1" applyBorder="1" applyAlignment="1">
      <alignment horizontal="right" vertical="center"/>
      <protection/>
    </xf>
    <xf numFmtId="2" fontId="4" fillId="2" borderId="16" xfId="36" applyNumberFormat="1" applyFont="1" applyFill="1" applyBorder="1" applyAlignment="1">
      <alignment horizontal="right" vertical="center"/>
      <protection/>
    </xf>
    <xf numFmtId="0" fontId="4" fillId="2" borderId="16" xfId="36" applyFont="1" applyFill="1" applyBorder="1">
      <alignment/>
      <protection/>
    </xf>
    <xf numFmtId="0" fontId="4" fillId="2" borderId="0" xfId="36" applyFont="1" applyFill="1">
      <alignment/>
      <protection/>
    </xf>
    <xf numFmtId="2" fontId="8" fillId="20" borderId="46" xfId="36" applyNumberFormat="1" applyFont="1" applyFill="1" applyBorder="1" applyAlignment="1">
      <alignment horizontal="right" vertical="center"/>
      <protection/>
    </xf>
    <xf numFmtId="2" fontId="8" fillId="20" borderId="47" xfId="36" applyNumberFormat="1" applyFont="1" applyFill="1" applyBorder="1" applyAlignment="1">
      <alignment horizontal="right" vertical="center"/>
      <protection/>
    </xf>
    <xf numFmtId="2" fontId="8" fillId="20" borderId="48" xfId="36" applyNumberFormat="1" applyFont="1" applyFill="1" applyBorder="1" applyAlignment="1">
      <alignment horizontal="right" vertical="center"/>
      <protection/>
    </xf>
    <xf numFmtId="2" fontId="8" fillId="20" borderId="49" xfId="36" applyNumberFormat="1" applyFont="1" applyFill="1" applyBorder="1" applyAlignment="1">
      <alignment horizontal="right" vertical="center"/>
      <protection/>
    </xf>
    <xf numFmtId="183" fontId="8" fillId="20" borderId="13" xfId="36" applyNumberFormat="1" applyFont="1" applyFill="1" applyBorder="1" applyAlignment="1">
      <alignment horizontal="center" vertical="center" wrapText="1"/>
      <protection/>
    </xf>
    <xf numFmtId="0" fontId="8" fillId="20" borderId="49" xfId="36" applyFont="1" applyFill="1" applyBorder="1" applyAlignment="1">
      <alignment horizontal="center" vertical="center" wrapText="1"/>
      <protection/>
    </xf>
    <xf numFmtId="0" fontId="4" fillId="20" borderId="50" xfId="36" applyFont="1" applyFill="1" applyBorder="1" applyAlignment="1">
      <alignment horizontal="center" vertical="center" wrapText="1"/>
      <protection/>
    </xf>
    <xf numFmtId="0" fontId="0" fillId="20" borderId="47" xfId="36" applyFont="1" applyFill="1" applyBorder="1" applyAlignment="1">
      <alignment horizontal="center" vertical="center" wrapText="1"/>
      <protection/>
    </xf>
    <xf numFmtId="0" fontId="8" fillId="0" borderId="29" xfId="36" applyFont="1" applyFill="1" applyBorder="1" applyAlignment="1">
      <alignment horizontal="center" vertical="center" wrapText="1"/>
      <protection/>
    </xf>
    <xf numFmtId="0" fontId="8" fillId="0" borderId="42" xfId="36" applyFont="1" applyFill="1" applyBorder="1" applyAlignment="1">
      <alignment horizontal="center" vertical="center" wrapText="1"/>
      <protection/>
    </xf>
    <xf numFmtId="0" fontId="4" fillId="0" borderId="51" xfId="36" applyFont="1" applyBorder="1" applyAlignment="1">
      <alignment horizontal="center" vertical="center" wrapText="1"/>
      <protection/>
    </xf>
    <xf numFmtId="0" fontId="0" fillId="0" borderId="30" xfId="36" applyFont="1" applyBorder="1" applyAlignment="1">
      <alignment horizontal="center" vertical="center" wrapText="1"/>
      <protection/>
    </xf>
    <xf numFmtId="0" fontId="4" fillId="0" borderId="25" xfId="36" applyFont="1" applyFill="1" applyBorder="1" applyAlignment="1">
      <alignment horizontal="center"/>
      <protection/>
    </xf>
    <xf numFmtId="49" fontId="8" fillId="0" borderId="22" xfId="34" applyNumberFormat="1" applyFont="1" applyFill="1" applyBorder="1" applyAlignment="1">
      <alignment horizontal="center" vertical="center" wrapText="1"/>
      <protection/>
    </xf>
    <xf numFmtId="0" fontId="8" fillId="0" borderId="10" xfId="34" applyFont="1" applyBorder="1" applyAlignment="1">
      <alignment horizontal="left" vertical="center" wrapText="1"/>
      <protection/>
    </xf>
    <xf numFmtId="0" fontId="18" fillId="0" borderId="10" xfId="34" applyFont="1" applyBorder="1" applyAlignment="1">
      <alignment horizontal="center" vertical="center"/>
      <protection/>
    </xf>
    <xf numFmtId="0" fontId="4" fillId="0" borderId="11" xfId="34" applyFont="1" applyBorder="1" applyAlignment="1">
      <alignment horizontal="right" vertical="center"/>
      <protection/>
    </xf>
    <xf numFmtId="0" fontId="4" fillId="0" borderId="10" xfId="34" applyFont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right" vertical="center" wrapText="1"/>
      <protection/>
    </xf>
    <xf numFmtId="2" fontId="4" fillId="0" borderId="11" xfId="34" applyNumberFormat="1" applyFont="1" applyFill="1" applyBorder="1" applyAlignment="1">
      <alignment horizontal="right" vertical="center" wrapText="1"/>
      <protection/>
    </xf>
    <xf numFmtId="49" fontId="4" fillId="0" borderId="22" xfId="34" applyNumberFormat="1" applyFont="1" applyFill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left" vertical="center" wrapText="1"/>
      <protection/>
    </xf>
    <xf numFmtId="2" fontId="4" fillId="0" borderId="52" xfId="36" applyNumberFormat="1" applyFont="1" applyFill="1" applyBorder="1" applyAlignment="1">
      <alignment horizontal="right" vertical="center"/>
      <protection/>
    </xf>
    <xf numFmtId="49" fontId="4" fillId="0" borderId="22" xfId="34" applyNumberFormat="1" applyFont="1" applyFill="1" applyBorder="1" applyAlignment="1" applyProtection="1">
      <alignment horizontal="center" vertical="center"/>
      <protection/>
    </xf>
    <xf numFmtId="0" fontId="4" fillId="0" borderId="25" xfId="34" applyFont="1" applyFill="1" applyBorder="1" applyAlignment="1">
      <alignment horizontal="left" vertical="center" wrapText="1"/>
      <protection/>
    </xf>
    <xf numFmtId="0" fontId="4" fillId="0" borderId="10" xfId="34" applyFont="1" applyFill="1" applyBorder="1" applyAlignment="1">
      <alignment horizontal="center" vertical="center"/>
      <protection/>
    </xf>
    <xf numFmtId="2" fontId="4" fillId="0" borderId="26" xfId="34" applyNumberFormat="1" applyFont="1" applyFill="1" applyBorder="1" applyAlignment="1">
      <alignment horizontal="right" vertical="center"/>
      <protection/>
    </xf>
    <xf numFmtId="0" fontId="11" fillId="9" borderId="53" xfId="36" applyFont="1" applyFill="1" applyBorder="1" applyAlignment="1">
      <alignment vertical="center"/>
      <protection/>
    </xf>
    <xf numFmtId="0" fontId="11" fillId="9" borderId="12" xfId="36" applyFont="1" applyFill="1" applyBorder="1" applyAlignment="1">
      <alignment vertical="center"/>
      <protection/>
    </xf>
    <xf numFmtId="2" fontId="11" fillId="9" borderId="44" xfId="36" applyNumberFormat="1" applyFont="1" applyFill="1" applyBorder="1" applyAlignment="1">
      <alignment vertical="center"/>
      <protection/>
    </xf>
    <xf numFmtId="49" fontId="4" fillId="0" borderId="36" xfId="36" applyNumberFormat="1" applyFont="1" applyFill="1" applyBorder="1" applyAlignment="1">
      <alignment horizontal="center"/>
      <protection/>
    </xf>
    <xf numFmtId="0" fontId="8" fillId="17" borderId="14" xfId="36" applyFont="1" applyFill="1" applyBorder="1" applyAlignment="1">
      <alignment horizontal="left" vertical="center" wrapText="1"/>
      <protection/>
    </xf>
    <xf numFmtId="0" fontId="4" fillId="17" borderId="54" xfId="36" applyFont="1" applyFill="1" applyBorder="1" applyAlignment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0" xfId="67" applyFont="1" applyBorder="1" applyAlignment="1">
      <alignment horizontal="left" vertical="center" wrapText="1"/>
      <protection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23" xfId="67" applyFont="1" applyBorder="1" applyAlignment="1">
      <alignment horizontal="left" vertical="center" wrapText="1"/>
      <protection/>
    </xf>
    <xf numFmtId="0" fontId="19" fillId="0" borderId="10" xfId="67" applyFont="1" applyFill="1" applyBorder="1" applyAlignment="1">
      <alignment horizontal="left" vertical="center" wrapText="1"/>
      <protection/>
    </xf>
    <xf numFmtId="0" fontId="4" fillId="0" borderId="10" xfId="67" applyFont="1" applyBorder="1" applyAlignment="1">
      <alignment horizontal="center" wrapText="1"/>
      <protection/>
    </xf>
    <xf numFmtId="0" fontId="4" fillId="0" borderId="23" xfId="67" applyFont="1" applyFill="1" applyBorder="1" applyAlignment="1">
      <alignment horizontal="left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23" xfId="67" applyFont="1" applyFill="1" applyBorder="1" applyAlignment="1">
      <alignment horizontal="left" vertical="center" wrapText="1"/>
      <protection/>
    </xf>
    <xf numFmtId="0" fontId="19" fillId="0" borderId="10" xfId="67" applyFont="1" applyBorder="1" applyAlignment="1">
      <alignment horizontal="center" wrapText="1"/>
      <protection/>
    </xf>
    <xf numFmtId="0" fontId="19" fillId="0" borderId="43" xfId="67" applyFont="1" applyBorder="1" applyAlignment="1">
      <alignment horizontal="left" vertical="center" wrapText="1"/>
      <protection/>
    </xf>
    <xf numFmtId="0" fontId="19" fillId="0" borderId="43" xfId="67" applyFont="1" applyFill="1" applyBorder="1" applyAlignment="1">
      <alignment horizontal="left" vertical="center" wrapText="1"/>
      <protection/>
    </xf>
    <xf numFmtId="0" fontId="4" fillId="0" borderId="10" xfId="67" applyFont="1" applyFill="1" applyBorder="1" applyAlignment="1">
      <alignment horizontal="left" vertical="center" wrapText="1"/>
      <protection/>
    </xf>
    <xf numFmtId="2" fontId="8" fillId="2" borderId="21" xfId="36" applyNumberFormat="1" applyFont="1" applyFill="1" applyBorder="1" applyAlignment="1">
      <alignment horizontal="right" vertical="center"/>
      <protection/>
    </xf>
    <xf numFmtId="0" fontId="8" fillId="2" borderId="10" xfId="36" applyFont="1" applyFill="1" applyBorder="1" applyAlignment="1">
      <alignment horizontal="center" vertical="center" wrapText="1"/>
      <protection/>
    </xf>
    <xf numFmtId="49" fontId="8" fillId="2" borderId="22" xfId="36" applyNumberFormat="1" applyFont="1" applyFill="1" applyBorder="1" applyAlignment="1">
      <alignment horizontal="center"/>
      <protection/>
    </xf>
    <xf numFmtId="49" fontId="4" fillId="2" borderId="22" xfId="36" applyNumberFormat="1" applyFont="1" applyFill="1" applyBorder="1" applyAlignment="1">
      <alignment horizontal="center"/>
      <protection/>
    </xf>
    <xf numFmtId="0" fontId="4" fillId="2" borderId="10" xfId="36" applyFont="1" applyFill="1" applyBorder="1" applyAlignment="1">
      <alignment horizontal="left" vertical="center" wrapText="1"/>
      <protection/>
    </xf>
    <xf numFmtId="0" fontId="4" fillId="2" borderId="10" xfId="34" applyFont="1" applyFill="1" applyBorder="1" applyAlignment="1" applyProtection="1">
      <alignment horizontal="left" vertical="center" wrapText="1"/>
      <protection/>
    </xf>
    <xf numFmtId="2" fontId="4" fillId="21" borderId="21" xfId="36" applyNumberFormat="1" applyFont="1" applyFill="1" applyBorder="1" applyAlignment="1">
      <alignment horizontal="right" vertical="center"/>
      <protection/>
    </xf>
    <xf numFmtId="2" fontId="11" fillId="9" borderId="55" xfId="36" applyNumberFormat="1" applyFont="1" applyFill="1" applyBorder="1" applyAlignment="1">
      <alignment vertical="center"/>
      <protection/>
    </xf>
    <xf numFmtId="2" fontId="8" fillId="21" borderId="16" xfId="36" applyNumberFormat="1" applyFont="1" applyFill="1" applyBorder="1" applyAlignment="1">
      <alignment horizontal="right" vertical="center"/>
      <protection/>
    </xf>
    <xf numFmtId="2" fontId="11" fillId="9" borderId="55" xfId="36" applyNumberFormat="1" applyFont="1" applyFill="1" applyBorder="1" applyAlignment="1">
      <alignment/>
      <protection/>
    </xf>
    <xf numFmtId="2" fontId="8" fillId="20" borderId="16" xfId="36" applyNumberFormat="1" applyFont="1" applyFill="1" applyBorder="1" applyAlignment="1">
      <alignment horizontal="right" vertical="center"/>
      <protection/>
    </xf>
    <xf numFmtId="0" fontId="0" fillId="0" borderId="10" xfId="36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36" applyFont="1" applyFill="1" applyBorder="1" applyAlignment="1">
      <alignment horizontal="center" vertical="center" wrapText="1"/>
      <protection/>
    </xf>
    <xf numFmtId="0" fontId="4" fillId="21" borderId="10" xfId="34" applyFont="1" applyFill="1" applyBorder="1" applyAlignment="1">
      <alignment horizontal="left" vertical="center" wrapText="1"/>
      <protection/>
    </xf>
    <xf numFmtId="0" fontId="4" fillId="17" borderId="25" xfId="36" applyFont="1" applyFill="1" applyBorder="1" applyAlignment="1">
      <alignment horizontal="center" vertical="center"/>
      <protection/>
    </xf>
    <xf numFmtId="2" fontId="4" fillId="0" borderId="10" xfId="34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34" applyNumberFormat="1" applyFont="1" applyFill="1" applyBorder="1" applyAlignment="1" applyProtection="1">
      <alignment horizontal="center" vertical="center" wrapText="1"/>
      <protection locked="0"/>
    </xf>
    <xf numFmtId="1" fontId="4" fillId="0" borderId="22" xfId="36" applyNumberFormat="1" applyFont="1" applyFill="1" applyBorder="1" applyAlignment="1">
      <alignment horizontal="right" vertical="center"/>
      <protection/>
    </xf>
    <xf numFmtId="0" fontId="4" fillId="0" borderId="23" xfId="36" applyFont="1" applyFill="1" applyBorder="1" applyAlignment="1">
      <alignment horizontal="right" vertical="center"/>
      <protection/>
    </xf>
    <xf numFmtId="2" fontId="8" fillId="19" borderId="23" xfId="36" applyNumberFormat="1" applyFont="1" applyFill="1" applyBorder="1" applyAlignment="1">
      <alignment horizontal="right" vertical="center"/>
      <protection/>
    </xf>
    <xf numFmtId="1" fontId="4" fillId="0" borderId="23" xfId="36" applyNumberFormat="1" applyFont="1" applyFill="1" applyBorder="1" applyAlignment="1">
      <alignment horizontal="right" vertical="center"/>
      <protection/>
    </xf>
    <xf numFmtId="2" fontId="4" fillId="9" borderId="56" xfId="36" applyNumberFormat="1" applyFont="1" applyFill="1" applyBorder="1" applyAlignment="1">
      <alignment vertical="center"/>
      <protection/>
    </xf>
    <xf numFmtId="0" fontId="0" fillId="0" borderId="22" xfId="36" applyFont="1" applyBorder="1" applyAlignment="1">
      <alignment horizontal="center" vertical="center" wrapText="1"/>
      <protection/>
    </xf>
    <xf numFmtId="2" fontId="4" fillId="21" borderId="24" xfId="36" applyNumberFormat="1" applyFont="1" applyFill="1" applyBorder="1" applyAlignment="1">
      <alignment horizontal="right" vertical="center"/>
      <protection/>
    </xf>
    <xf numFmtId="0" fontId="11" fillId="9" borderId="33" xfId="36" applyFont="1" applyFill="1" applyBorder="1" applyAlignment="1">
      <alignment/>
      <protection/>
    </xf>
    <xf numFmtId="2" fontId="4" fillId="0" borderId="57" xfId="36" applyNumberFormat="1" applyFont="1" applyFill="1" applyBorder="1" applyAlignment="1">
      <alignment horizontal="right" vertical="center"/>
      <protection/>
    </xf>
    <xf numFmtId="2" fontId="4" fillId="21" borderId="57" xfId="36" applyNumberFormat="1" applyFont="1" applyFill="1" applyBorder="1" applyAlignment="1">
      <alignment horizontal="right" vertical="center"/>
      <protection/>
    </xf>
    <xf numFmtId="2" fontId="8" fillId="21" borderId="58" xfId="36" applyNumberFormat="1" applyFont="1" applyFill="1" applyBorder="1" applyAlignment="1">
      <alignment horizontal="right" vertical="center"/>
      <protection/>
    </xf>
    <xf numFmtId="2" fontId="8" fillId="21" borderId="31" xfId="36" applyNumberFormat="1" applyFont="1" applyFill="1" applyBorder="1" applyAlignment="1">
      <alignment horizontal="right" vertical="center"/>
      <protection/>
    </xf>
    <xf numFmtId="2" fontId="8" fillId="17" borderId="27" xfId="36" applyNumberFormat="1" applyFont="1" applyFill="1" applyBorder="1" applyAlignment="1">
      <alignment horizontal="right" vertical="center"/>
      <protection/>
    </xf>
    <xf numFmtId="2" fontId="8" fillId="21" borderId="22" xfId="36" applyNumberFormat="1" applyFont="1" applyFill="1" applyBorder="1" applyAlignment="1">
      <alignment horizontal="right" vertical="center"/>
      <protection/>
    </xf>
    <xf numFmtId="2" fontId="8" fillId="21" borderId="23" xfId="36" applyNumberFormat="1" applyFont="1" applyFill="1" applyBorder="1" applyAlignment="1">
      <alignment horizontal="right" vertical="center"/>
      <protection/>
    </xf>
    <xf numFmtId="2" fontId="8" fillId="21" borderId="23" xfId="36" applyNumberFormat="1" applyFont="1" applyFill="1" applyBorder="1" applyAlignment="1">
      <alignment horizontal="right"/>
      <protection/>
    </xf>
    <xf numFmtId="2" fontId="8" fillId="21" borderId="22" xfId="36" applyNumberFormat="1" applyFont="1" applyFill="1" applyBorder="1" applyAlignment="1">
      <alignment horizontal="right"/>
      <protection/>
    </xf>
    <xf numFmtId="2" fontId="8" fillId="17" borderId="34" xfId="36" applyNumberFormat="1" applyFont="1" applyFill="1" applyBorder="1" applyAlignment="1">
      <alignment horizontal="right" vertical="center"/>
      <protection/>
    </xf>
    <xf numFmtId="2" fontId="8" fillId="17" borderId="59" xfId="36" applyNumberFormat="1" applyFont="1" applyFill="1" applyBorder="1" applyAlignment="1">
      <alignment horizontal="right" vertical="center"/>
      <protection/>
    </xf>
    <xf numFmtId="2" fontId="8" fillId="17" borderId="60" xfId="36" applyNumberFormat="1" applyFont="1" applyFill="1" applyBorder="1" applyAlignment="1">
      <alignment horizontal="right" vertical="center"/>
      <protection/>
    </xf>
    <xf numFmtId="2" fontId="4" fillId="20" borderId="22" xfId="36" applyNumberFormat="1" applyFont="1" applyFill="1" applyBorder="1" applyAlignment="1">
      <alignment horizontal="right" vertical="center"/>
      <protection/>
    </xf>
    <xf numFmtId="2" fontId="8" fillId="20" borderId="24" xfId="36" applyNumberFormat="1" applyFont="1" applyFill="1" applyBorder="1" applyAlignment="1">
      <alignment horizontal="right" vertical="center"/>
      <protection/>
    </xf>
    <xf numFmtId="2" fontId="8" fillId="20" borderId="11" xfId="36" applyNumberFormat="1" applyFont="1" applyFill="1" applyBorder="1" applyAlignment="1">
      <alignment horizontal="right" vertical="center"/>
      <protection/>
    </xf>
    <xf numFmtId="2" fontId="8" fillId="20" borderId="57" xfId="36" applyNumberFormat="1" applyFont="1" applyFill="1" applyBorder="1" applyAlignment="1">
      <alignment horizontal="right" vertical="center"/>
      <protection/>
    </xf>
    <xf numFmtId="2" fontId="8" fillId="2" borderId="10" xfId="36" applyNumberFormat="1" applyFont="1" applyFill="1" applyBorder="1" applyAlignment="1">
      <alignment horizontal="center" vertical="center"/>
      <protection/>
    </xf>
    <xf numFmtId="2" fontId="4" fillId="2" borderId="22" xfId="36" applyNumberFormat="1" applyFont="1" applyFill="1" applyBorder="1" applyAlignment="1" applyProtection="1">
      <alignment horizontal="right" vertical="center"/>
      <protection/>
    </xf>
    <xf numFmtId="2" fontId="8" fillId="21" borderId="29" xfId="36" applyNumberFormat="1" applyFont="1" applyFill="1" applyBorder="1" applyAlignment="1">
      <alignment vertical="center"/>
      <protection/>
    </xf>
    <xf numFmtId="2" fontId="8" fillId="17" borderId="21" xfId="36" applyNumberFormat="1" applyFont="1" applyFill="1" applyBorder="1" applyAlignment="1">
      <alignment horizontal="right" vertical="center"/>
      <protection/>
    </xf>
    <xf numFmtId="2" fontId="4" fillId="9" borderId="56" xfId="36" applyNumberFormat="1" applyFont="1" applyFill="1" applyBorder="1" applyAlignment="1">
      <alignment/>
      <protection/>
    </xf>
    <xf numFmtId="2" fontId="4" fillId="0" borderId="34" xfId="36" applyNumberFormat="1" applyFont="1" applyFill="1" applyBorder="1" applyAlignment="1" applyProtection="1">
      <alignment horizontal="right" vertical="center"/>
      <protection/>
    </xf>
    <xf numFmtId="2" fontId="8" fillId="17" borderId="36" xfId="36" applyNumberFormat="1" applyFont="1" applyFill="1" applyBorder="1" applyAlignment="1">
      <alignment horizontal="right" vertical="center"/>
      <protection/>
    </xf>
    <xf numFmtId="2" fontId="4" fillId="2" borderId="35" xfId="36" applyNumberFormat="1" applyFont="1" applyFill="1" applyBorder="1" applyAlignment="1">
      <alignment horizontal="right" vertical="center"/>
      <protection/>
    </xf>
    <xf numFmtId="0" fontId="0" fillId="9" borderId="10" xfId="36" applyFont="1" applyFill="1" applyBorder="1" applyAlignment="1">
      <alignment horizontal="center" vertical="center" wrapText="1"/>
      <protection/>
    </xf>
    <xf numFmtId="0" fontId="0" fillId="9" borderId="11" xfId="36" applyFont="1" applyFill="1" applyBorder="1" applyAlignment="1">
      <alignment horizontal="center" vertical="center" wrapText="1"/>
      <protection/>
    </xf>
    <xf numFmtId="0" fontId="0" fillId="9" borderId="22" xfId="36" applyFont="1" applyFill="1" applyBorder="1" applyAlignment="1">
      <alignment horizontal="center" vertical="center" wrapText="1"/>
      <protection/>
    </xf>
    <xf numFmtId="0" fontId="0" fillId="9" borderId="16" xfId="36" applyFont="1" applyFill="1" applyBorder="1" applyAlignment="1">
      <alignment horizontal="center" vertical="center" wrapText="1"/>
      <protection/>
    </xf>
    <xf numFmtId="0" fontId="0" fillId="9" borderId="16" xfId="36" applyFont="1" applyFill="1" applyBorder="1" applyAlignment="1">
      <alignment horizontal="center" vertical="center" wrapText="1"/>
      <protection/>
    </xf>
    <xf numFmtId="0" fontId="50" fillId="2" borderId="0" xfId="59" applyFont="1" applyFill="1" applyProtection="1">
      <alignment/>
      <protection/>
    </xf>
    <xf numFmtId="0" fontId="50" fillId="2" borderId="0" xfId="59" applyFont="1" applyFill="1" applyAlignment="1" applyProtection="1">
      <alignment horizontal="center"/>
      <protection/>
    </xf>
    <xf numFmtId="0" fontId="50" fillId="2" borderId="0" xfId="34" applyFont="1" applyFill="1" applyProtection="1">
      <alignment/>
      <protection/>
    </xf>
    <xf numFmtId="49" fontId="0" fillId="9" borderId="10" xfId="36" applyNumberFormat="1" applyFont="1" applyFill="1" applyBorder="1" applyAlignment="1">
      <alignment horizontal="center" vertical="center" wrapText="1"/>
      <protection/>
    </xf>
    <xf numFmtId="0" fontId="0" fillId="9" borderId="23" xfId="36" applyFont="1" applyFill="1" applyBorder="1" applyAlignment="1">
      <alignment horizontal="center" vertical="center" wrapText="1"/>
      <protection/>
    </xf>
    <xf numFmtId="0" fontId="0" fillId="9" borderId="11" xfId="36" applyFont="1" applyFill="1" applyBorder="1" applyAlignment="1">
      <alignment horizontal="center" vertical="center" wrapText="1"/>
      <protection/>
    </xf>
    <xf numFmtId="0" fontId="0" fillId="0" borderId="22" xfId="36" applyFont="1" applyBorder="1" applyAlignment="1">
      <alignment horizontal="center" vertical="center" wrapText="1"/>
      <protection/>
    </xf>
    <xf numFmtId="0" fontId="11" fillId="9" borderId="61" xfId="36" applyFont="1" applyFill="1" applyBorder="1" applyAlignment="1">
      <alignment/>
      <protection/>
    </xf>
    <xf numFmtId="0" fontId="11" fillId="9" borderId="62" xfId="36" applyFont="1" applyFill="1" applyBorder="1" applyAlignment="1">
      <alignment/>
      <protection/>
    </xf>
    <xf numFmtId="0" fontId="4" fillId="0" borderId="11" xfId="36" applyFont="1" applyFill="1" applyBorder="1" applyAlignment="1">
      <alignment horizontal="right" vertical="center" wrapText="1"/>
      <protection/>
    </xf>
    <xf numFmtId="2" fontId="4" fillId="0" borderId="11" xfId="36" applyNumberFormat="1" applyFont="1" applyFill="1" applyBorder="1" applyAlignment="1">
      <alignment horizontal="right" vertical="center" wrapText="1"/>
      <protection/>
    </xf>
    <xf numFmtId="2" fontId="9" fillId="19" borderId="11" xfId="36" applyNumberFormat="1" applyFont="1" applyFill="1" applyBorder="1" applyAlignment="1">
      <alignment horizontal="right" vertical="center"/>
      <protection/>
    </xf>
    <xf numFmtId="2" fontId="9" fillId="2" borderId="11" xfId="36" applyNumberFormat="1" applyFont="1" applyFill="1" applyBorder="1" applyAlignment="1">
      <alignment horizontal="right" vertical="center"/>
      <protection/>
    </xf>
    <xf numFmtId="2" fontId="4" fillId="21" borderId="11" xfId="36" applyNumberFormat="1" applyFont="1" applyFill="1" applyBorder="1" applyAlignment="1">
      <alignment horizontal="right" vertical="center" wrapText="1"/>
      <protection/>
    </xf>
    <xf numFmtId="2" fontId="4" fillId="0" borderId="11" xfId="36" applyNumberFormat="1" applyFont="1" applyFill="1" applyBorder="1" applyAlignment="1">
      <alignment horizontal="right" vertical="center"/>
      <protection/>
    </xf>
    <xf numFmtId="2" fontId="4" fillId="0" borderId="26" xfId="36" applyNumberFormat="1" applyFont="1" applyFill="1" applyBorder="1" applyAlignment="1">
      <alignment horizontal="right" vertical="center"/>
      <protection/>
    </xf>
    <xf numFmtId="2" fontId="9" fillId="17" borderId="26" xfId="36" applyNumberFormat="1" applyFont="1" applyFill="1" applyBorder="1" applyAlignment="1">
      <alignment horizontal="right" vertical="center"/>
      <protection/>
    </xf>
    <xf numFmtId="2" fontId="8" fillId="21" borderId="42" xfId="36" applyNumberFormat="1" applyFont="1" applyFill="1" applyBorder="1" applyAlignment="1">
      <alignment vertical="center"/>
      <protection/>
    </xf>
    <xf numFmtId="2" fontId="11" fillId="9" borderId="62" xfId="36" applyNumberFormat="1" applyFont="1" applyFill="1" applyBorder="1" applyAlignment="1">
      <alignment vertical="center"/>
      <protection/>
    </xf>
    <xf numFmtId="2" fontId="9" fillId="0" borderId="11" xfId="36" applyNumberFormat="1" applyFont="1" applyFill="1" applyBorder="1" applyAlignment="1">
      <alignment horizontal="right" vertical="center"/>
      <protection/>
    </xf>
    <xf numFmtId="2" fontId="4" fillId="17" borderId="11" xfId="36" applyNumberFormat="1" applyFont="1" applyFill="1" applyBorder="1" applyAlignment="1">
      <alignment horizontal="right" vertical="center"/>
      <protection/>
    </xf>
    <xf numFmtId="190" fontId="0" fillId="0" borderId="11" xfId="36" applyNumberFormat="1" applyFont="1" applyFill="1" applyBorder="1" applyAlignment="1">
      <alignment horizontal="right" vertical="center"/>
      <protection/>
    </xf>
    <xf numFmtId="190" fontId="4" fillId="2" borderId="26" xfId="36" applyNumberFormat="1" applyFont="1" applyFill="1" applyBorder="1" applyAlignment="1">
      <alignment horizontal="right" vertical="center"/>
      <protection/>
    </xf>
    <xf numFmtId="2" fontId="4" fillId="2" borderId="26" xfId="36" applyNumberFormat="1" applyFont="1" applyFill="1" applyBorder="1" applyAlignment="1">
      <alignment horizontal="right" vertical="center"/>
      <protection/>
    </xf>
    <xf numFmtId="2" fontId="4" fillId="17" borderId="26" xfId="36" applyNumberFormat="1" applyFont="1" applyFill="1" applyBorder="1" applyAlignment="1">
      <alignment horizontal="right" vertical="center"/>
      <protection/>
    </xf>
    <xf numFmtId="2" fontId="11" fillId="9" borderId="62" xfId="36" applyNumberFormat="1" applyFont="1" applyFill="1" applyBorder="1" applyAlignment="1">
      <alignment/>
      <protection/>
    </xf>
    <xf numFmtId="2" fontId="4" fillId="0" borderId="11" xfId="36" applyNumberFormat="1" applyFont="1" applyBorder="1" applyAlignment="1">
      <alignment horizontal="right" vertical="center"/>
      <protection/>
    </xf>
    <xf numFmtId="2" fontId="4" fillId="0" borderId="11" xfId="36" applyNumberFormat="1" applyFont="1" applyFill="1" applyBorder="1" applyAlignment="1" applyProtection="1">
      <alignment horizontal="right" vertical="center"/>
      <protection/>
    </xf>
    <xf numFmtId="2" fontId="4" fillId="0" borderId="11" xfId="67" applyNumberFormat="1" applyFont="1" applyBorder="1" applyAlignment="1">
      <alignment horizontal="center" vertical="center"/>
      <protection/>
    </xf>
    <xf numFmtId="2" fontId="4" fillId="21" borderId="11" xfId="36" applyNumberFormat="1" applyFont="1" applyFill="1" applyBorder="1" applyAlignment="1" applyProtection="1">
      <alignment horizontal="right" vertical="center"/>
      <protection/>
    </xf>
    <xf numFmtId="2" fontId="4" fillId="19" borderId="11" xfId="36" applyNumberFormat="1" applyFont="1" applyFill="1" applyBorder="1" applyAlignment="1" applyProtection="1">
      <alignment horizontal="right" vertical="center"/>
      <protection/>
    </xf>
    <xf numFmtId="2" fontId="19" fillId="0" borderId="11" xfId="67" applyNumberFormat="1" applyFont="1" applyBorder="1" applyAlignment="1">
      <alignment horizontal="center" vertical="center"/>
      <protection/>
    </xf>
    <xf numFmtId="2" fontId="11" fillId="9" borderId="45" xfId="36" applyNumberFormat="1" applyFont="1" applyFill="1" applyBorder="1" applyAlignment="1">
      <alignment vertical="center"/>
      <protection/>
    </xf>
    <xf numFmtId="2" fontId="4" fillId="0" borderId="11" xfId="36" applyNumberFormat="1" applyFont="1" applyBorder="1" applyAlignment="1">
      <alignment horizontal="right" vertical="center" wrapText="1"/>
      <protection/>
    </xf>
    <xf numFmtId="2" fontId="4" fillId="17" borderId="54" xfId="36" applyNumberFormat="1" applyFont="1" applyFill="1" applyBorder="1" applyAlignment="1">
      <alignment horizontal="right" vertical="center"/>
      <protection/>
    </xf>
    <xf numFmtId="0" fontId="0" fillId="0" borderId="11" xfId="36" applyFont="1" applyBorder="1" applyAlignment="1">
      <alignment horizontal="center" vertical="center" wrapText="1"/>
      <protection/>
    </xf>
    <xf numFmtId="1" fontId="0" fillId="9" borderId="16" xfId="36" applyNumberFormat="1" applyFont="1" applyFill="1" applyBorder="1" applyAlignment="1">
      <alignment horizontal="center" vertical="center" wrapText="1"/>
      <protection/>
    </xf>
    <xf numFmtId="2" fontId="11" fillId="9" borderId="21" xfId="36" applyNumberFormat="1" applyFont="1" applyFill="1" applyBorder="1" applyAlignment="1">
      <alignment/>
      <protection/>
    </xf>
    <xf numFmtId="0" fontId="11" fillId="0" borderId="52" xfId="36" applyFont="1" applyFill="1" applyBorder="1" applyAlignment="1">
      <alignment horizontal="right" vertical="center"/>
      <protection/>
    </xf>
    <xf numFmtId="2" fontId="11" fillId="0" borderId="40" xfId="36" applyNumberFormat="1" applyFont="1" applyFill="1" applyBorder="1" applyAlignment="1">
      <alignment horizontal="right" vertical="center"/>
      <protection/>
    </xf>
    <xf numFmtId="2" fontId="11" fillId="0" borderId="22" xfId="36" applyNumberFormat="1" applyFont="1" applyFill="1" applyBorder="1" applyAlignment="1">
      <alignment horizontal="right" vertical="center"/>
      <protection/>
    </xf>
    <xf numFmtId="2" fontId="11" fillId="0" borderId="16" xfId="36" applyNumberFormat="1" applyFont="1" applyFill="1" applyBorder="1" applyAlignment="1">
      <alignment horizontal="right" vertical="center"/>
      <protection/>
    </xf>
    <xf numFmtId="2" fontId="11" fillId="19" borderId="22" xfId="36" applyNumberFormat="1" applyFont="1" applyFill="1" applyBorder="1" applyAlignment="1">
      <alignment horizontal="right" vertical="center"/>
      <protection/>
    </xf>
    <xf numFmtId="2" fontId="11" fillId="2" borderId="22" xfId="36" applyNumberFormat="1" applyFont="1" applyFill="1" applyBorder="1" applyAlignment="1">
      <alignment horizontal="right" vertical="center"/>
      <protection/>
    </xf>
    <xf numFmtId="2" fontId="8" fillId="20" borderId="16" xfId="36" applyNumberFormat="1" applyFont="1" applyFill="1" applyBorder="1" applyAlignment="1">
      <alignment horizontal="right" vertical="center" wrapText="1"/>
      <protection/>
    </xf>
    <xf numFmtId="2" fontId="11" fillId="21" borderId="22" xfId="36" applyNumberFormat="1" applyFont="1" applyFill="1" applyBorder="1" applyAlignment="1">
      <alignment horizontal="right" vertical="center"/>
      <protection/>
    </xf>
    <xf numFmtId="2" fontId="11" fillId="17" borderId="36" xfId="36" applyNumberFormat="1" applyFont="1" applyFill="1" applyBorder="1" applyAlignment="1">
      <alignment horizontal="right" vertical="center"/>
      <protection/>
    </xf>
    <xf numFmtId="2" fontId="8" fillId="21" borderId="31" xfId="36" applyNumberFormat="1" applyFont="1" applyFill="1" applyBorder="1" applyAlignment="1">
      <alignment vertical="center"/>
      <protection/>
    </xf>
    <xf numFmtId="2" fontId="11" fillId="9" borderId="19" xfId="36" applyNumberFormat="1" applyFont="1" applyFill="1" applyBorder="1" applyAlignment="1">
      <alignment vertical="center"/>
      <protection/>
    </xf>
    <xf numFmtId="2" fontId="4" fillId="2" borderId="27" xfId="36" applyNumberFormat="1" applyFont="1" applyFill="1" applyBorder="1" applyAlignment="1">
      <alignment horizontal="right" vertical="center"/>
      <protection/>
    </xf>
    <xf numFmtId="2" fontId="11" fillId="9" borderId="19" xfId="36" applyNumberFormat="1" applyFont="1" applyFill="1" applyBorder="1" applyAlignment="1">
      <alignment/>
      <protection/>
    </xf>
    <xf numFmtId="2" fontId="4" fillId="0" borderId="22" xfId="36" applyNumberFormat="1" applyFont="1" applyBorder="1" applyAlignment="1">
      <alignment horizontal="right" vertical="center"/>
      <protection/>
    </xf>
    <xf numFmtId="2" fontId="4" fillId="21" borderId="22" xfId="36" applyNumberFormat="1" applyFont="1" applyFill="1" applyBorder="1" applyAlignment="1" applyProtection="1">
      <alignment horizontal="right" vertical="center"/>
      <protection/>
    </xf>
    <xf numFmtId="2" fontId="4" fillId="19" borderId="22" xfId="36" applyNumberFormat="1" applyFont="1" applyFill="1" applyBorder="1" applyAlignment="1" applyProtection="1">
      <alignment horizontal="right" vertical="center"/>
      <protection/>
    </xf>
    <xf numFmtId="2" fontId="11" fillId="9" borderId="53" xfId="36" applyNumberFormat="1" applyFont="1" applyFill="1" applyBorder="1" applyAlignment="1">
      <alignment vertical="center"/>
      <protection/>
    </xf>
    <xf numFmtId="0" fontId="4" fillId="0" borderId="22" xfId="34" applyNumberFormat="1" applyFont="1" applyFill="1" applyBorder="1" applyAlignment="1" applyProtection="1">
      <alignment horizontal="right" vertical="center"/>
      <protection/>
    </xf>
    <xf numFmtId="1" fontId="4" fillId="0" borderId="22" xfId="34" applyNumberFormat="1" applyFont="1" applyFill="1" applyBorder="1" applyAlignment="1">
      <alignment horizontal="right" vertical="center"/>
      <protection/>
    </xf>
    <xf numFmtId="0" fontId="4" fillId="0" borderId="22" xfId="34" applyFont="1" applyFill="1" applyBorder="1" applyAlignment="1">
      <alignment horizontal="right" vertical="center"/>
      <protection/>
    </xf>
    <xf numFmtId="2" fontId="11" fillId="9" borderId="63" xfId="36" applyNumberFormat="1" applyFont="1" applyFill="1" applyBorder="1" applyAlignment="1">
      <alignment/>
      <protection/>
    </xf>
    <xf numFmtId="184" fontId="4" fillId="0" borderId="11" xfId="36" applyNumberFormat="1" applyFont="1" applyFill="1" applyBorder="1" applyAlignment="1">
      <alignment horizontal="right" vertical="center"/>
      <protection/>
    </xf>
    <xf numFmtId="2" fontId="8" fillId="21" borderId="64" xfId="36" applyNumberFormat="1" applyFont="1" applyFill="1" applyBorder="1" applyAlignment="1">
      <alignment horizontal="right" vertical="center"/>
      <protection/>
    </xf>
    <xf numFmtId="0" fontId="4" fillId="8" borderId="10" xfId="34" applyFont="1" applyFill="1" applyBorder="1" applyAlignment="1" applyProtection="1">
      <alignment horizontal="center" vertical="center" wrapText="1"/>
      <protection locked="0"/>
    </xf>
    <xf numFmtId="0" fontId="15" fillId="8" borderId="10" xfId="34" applyFont="1" applyFill="1" applyBorder="1" applyAlignment="1" applyProtection="1">
      <alignment horizontal="center" vertical="center" wrapText="1"/>
      <protection locked="0"/>
    </xf>
    <xf numFmtId="2" fontId="4" fillId="2" borderId="10" xfId="36" applyNumberFormat="1" applyFont="1" applyFill="1" applyBorder="1" applyAlignment="1">
      <alignment horizontal="right" vertical="center"/>
      <protection/>
    </xf>
    <xf numFmtId="190" fontId="4" fillId="0" borderId="24" xfId="36" applyNumberFormat="1" applyFont="1" applyFill="1" applyBorder="1" applyAlignment="1">
      <alignment horizontal="center" vertical="center" wrapText="1"/>
      <protection/>
    </xf>
    <xf numFmtId="0" fontId="8" fillId="0" borderId="23" xfId="36" applyFont="1" applyFill="1" applyBorder="1" applyAlignment="1">
      <alignment horizontal="center" vertical="center"/>
      <protection/>
    </xf>
    <xf numFmtId="0" fontId="4" fillId="0" borderId="23" xfId="36" applyFont="1" applyFill="1" applyBorder="1" applyAlignment="1">
      <alignment horizontal="center" vertical="center"/>
      <protection/>
    </xf>
    <xf numFmtId="0" fontId="4" fillId="2" borderId="23" xfId="36" applyFont="1" applyFill="1" applyBorder="1" applyAlignment="1">
      <alignment horizontal="center" vertical="center"/>
      <protection/>
    </xf>
    <xf numFmtId="0" fontId="4" fillId="9" borderId="0" xfId="36" applyFont="1" applyFill="1" applyBorder="1" applyAlignment="1">
      <alignment vertical="center"/>
      <protection/>
    </xf>
    <xf numFmtId="0" fontId="4" fillId="9" borderId="0" xfId="36" applyFont="1" applyFill="1" applyBorder="1" applyAlignment="1">
      <alignment/>
      <protection/>
    </xf>
    <xf numFmtId="0" fontId="4" fillId="0" borderId="10" xfId="34" applyFont="1" applyBorder="1" applyAlignment="1" applyProtection="1">
      <alignment horizontal="center" vertical="center" wrapText="1"/>
      <protection/>
    </xf>
    <xf numFmtId="0" fontId="51" fillId="2" borderId="10" xfId="59" applyFont="1" applyFill="1" applyBorder="1" applyAlignment="1" applyProtection="1">
      <alignment horizontal="center" vertical="center" wrapText="1"/>
      <protection/>
    </xf>
    <xf numFmtId="0" fontId="51" fillId="2" borderId="10" xfId="59" applyFont="1" applyFill="1" applyBorder="1" applyAlignment="1" applyProtection="1">
      <alignment horizontal="center" vertical="center" wrapText="1"/>
      <protection locked="0"/>
    </xf>
    <xf numFmtId="0" fontId="51" fillId="2" borderId="10" xfId="59" applyFont="1" applyFill="1" applyBorder="1" applyAlignment="1" applyProtection="1">
      <alignment horizontal="center"/>
      <protection/>
    </xf>
    <xf numFmtId="49" fontId="51" fillId="2" borderId="10" xfId="59" applyNumberFormat="1" applyFont="1" applyFill="1" applyBorder="1" applyAlignment="1" applyProtection="1">
      <alignment horizontal="right" vertical="center" wrapText="1"/>
      <protection/>
    </xf>
    <xf numFmtId="0" fontId="52" fillId="2" borderId="10" xfId="59" applyFont="1" applyFill="1" applyBorder="1" applyAlignment="1" applyProtection="1">
      <alignment wrapText="1"/>
      <protection/>
    </xf>
    <xf numFmtId="4" fontId="51" fillId="2" borderId="10" xfId="59" applyNumberFormat="1" applyFont="1" applyFill="1" applyBorder="1" applyAlignment="1" applyProtection="1">
      <alignment horizontal="center" vertical="center"/>
      <protection/>
    </xf>
    <xf numFmtId="0" fontId="51" fillId="2" borderId="10" xfId="59" applyFont="1" applyFill="1" applyBorder="1" applyProtection="1">
      <alignment/>
      <protection/>
    </xf>
    <xf numFmtId="0" fontId="51" fillId="2" borderId="10" xfId="59" applyFont="1" applyFill="1" applyBorder="1" applyAlignment="1" applyProtection="1">
      <alignment wrapText="1"/>
      <protection/>
    </xf>
    <xf numFmtId="4" fontId="51" fillId="2" borderId="10" xfId="59" applyNumberFormat="1" applyFont="1" applyFill="1" applyBorder="1" applyAlignment="1" applyProtection="1">
      <alignment horizontal="center" vertical="center"/>
      <protection locked="0"/>
    </xf>
    <xf numFmtId="2" fontId="51" fillId="2" borderId="10" xfId="34" applyNumberFormat="1" applyFont="1" applyFill="1" applyBorder="1" applyAlignment="1">
      <alignment horizontal="center" vertical="center"/>
      <protection/>
    </xf>
    <xf numFmtId="0" fontId="51" fillId="2" borderId="10" xfId="0" applyFont="1" applyFill="1" applyBorder="1" applyAlignment="1" applyProtection="1">
      <alignment horizontal="left" vertical="center" wrapText="1"/>
      <protection/>
    </xf>
    <xf numFmtId="2" fontId="51" fillId="2" borderId="10" xfId="34" applyNumberFormat="1" applyFont="1" applyFill="1" applyBorder="1" applyAlignment="1">
      <alignment horizontal="right" vertical="center"/>
      <protection/>
    </xf>
    <xf numFmtId="2" fontId="51" fillId="2" borderId="10" xfId="59" applyNumberFormat="1" applyFont="1" applyFill="1" applyBorder="1" applyAlignment="1" applyProtection="1">
      <alignment wrapText="1"/>
      <protection/>
    </xf>
    <xf numFmtId="0" fontId="51" fillId="2" borderId="37" xfId="0" applyFont="1" applyFill="1" applyBorder="1" applyAlignment="1" applyProtection="1">
      <alignment horizontal="left" vertical="center" wrapText="1"/>
      <protection/>
    </xf>
    <xf numFmtId="2" fontId="51" fillId="2" borderId="10" xfId="59" applyNumberFormat="1" applyFont="1" applyFill="1" applyBorder="1" applyAlignment="1" applyProtection="1">
      <alignment horizontal="center" vertical="center"/>
      <protection/>
    </xf>
    <xf numFmtId="49" fontId="51" fillId="2" borderId="10" xfId="59" applyNumberFormat="1" applyFont="1" applyFill="1" applyBorder="1" applyAlignment="1" applyProtection="1">
      <alignment horizontal="center" vertical="center"/>
      <protection locked="0"/>
    </xf>
    <xf numFmtId="2" fontId="51" fillId="2" borderId="10" xfId="59" applyNumberFormat="1" applyFont="1" applyFill="1" applyBorder="1" applyAlignment="1" applyProtection="1">
      <alignment horizontal="center" vertical="center" wrapText="1"/>
      <protection/>
    </xf>
    <xf numFmtId="0" fontId="51" fillId="2" borderId="10" xfId="34" applyFont="1" applyFill="1" applyBorder="1" applyAlignment="1">
      <alignment horizontal="left" vertical="center" wrapText="1"/>
      <protection/>
    </xf>
    <xf numFmtId="49" fontId="51" fillId="2" borderId="10" xfId="59" applyNumberFormat="1" applyFont="1" applyFill="1" applyBorder="1" applyAlignment="1" applyProtection="1">
      <alignment horizontal="center" vertical="center" wrapText="1"/>
      <protection locked="0"/>
    </xf>
    <xf numFmtId="0" fontId="51" fillId="2" borderId="10" xfId="59" applyFont="1" applyFill="1" applyBorder="1" applyAlignment="1" applyProtection="1">
      <alignment horizontal="right" vertical="center" wrapText="1"/>
      <protection/>
    </xf>
    <xf numFmtId="0" fontId="51" fillId="2" borderId="10" xfId="34" applyFont="1" applyFill="1" applyBorder="1" applyAlignment="1" applyProtection="1">
      <alignment horizontal="left" vertical="center" wrapText="1"/>
      <protection/>
    </xf>
    <xf numFmtId="0" fontId="52" fillId="2" borderId="10" xfId="59" applyFont="1" applyFill="1" applyBorder="1" applyAlignment="1" applyProtection="1">
      <alignment horizontal="left" vertical="center" wrapText="1"/>
      <protection/>
    </xf>
    <xf numFmtId="3" fontId="51" fillId="2" borderId="10" xfId="59" applyNumberFormat="1" applyFont="1" applyFill="1" applyBorder="1" applyAlignment="1" applyProtection="1">
      <alignment horizontal="center" vertical="center"/>
      <protection/>
    </xf>
    <xf numFmtId="0" fontId="51" fillId="2" borderId="10" xfId="0" applyFont="1" applyFill="1" applyBorder="1" applyAlignment="1">
      <alignment horizontal="left" vertical="center" wrapText="1"/>
    </xf>
    <xf numFmtId="2" fontId="51" fillId="2" borderId="10" xfId="0" applyNumberFormat="1" applyFont="1" applyFill="1" applyBorder="1" applyAlignment="1">
      <alignment horizontal="center" vertical="center"/>
    </xf>
    <xf numFmtId="179" fontId="51" fillId="2" borderId="37" xfId="0" applyNumberFormat="1" applyFont="1" applyFill="1" applyBorder="1" applyAlignment="1" applyProtection="1">
      <alignment horizontal="center" vertical="center"/>
      <protection locked="0"/>
    </xf>
    <xf numFmtId="49" fontId="51" fillId="2" borderId="10" xfId="34" applyNumberFormat="1" applyFont="1" applyFill="1" applyBorder="1" applyAlignment="1" applyProtection="1">
      <alignment horizontal="right" vertical="center" wrapText="1"/>
      <protection/>
    </xf>
    <xf numFmtId="4" fontId="51" fillId="2" borderId="10" xfId="34" applyNumberFormat="1" applyFont="1" applyFill="1" applyBorder="1" applyAlignment="1" applyProtection="1">
      <alignment horizontal="center" vertical="center"/>
      <protection locked="0"/>
    </xf>
    <xf numFmtId="3" fontId="51" fillId="2" borderId="10" xfId="59" applyNumberFormat="1" applyFont="1" applyFill="1" applyBorder="1" applyAlignment="1" applyProtection="1">
      <alignment horizontal="center" vertical="center"/>
      <protection locked="0"/>
    </xf>
    <xf numFmtId="0" fontId="51" fillId="2" borderId="10" xfId="34" applyFont="1" applyFill="1" applyBorder="1" applyAlignment="1" applyProtection="1">
      <alignment wrapText="1"/>
      <protection/>
    </xf>
    <xf numFmtId="4" fontId="51" fillId="2" borderId="10" xfId="34" applyNumberFormat="1" applyFont="1" applyFill="1" applyBorder="1" applyAlignment="1" applyProtection="1">
      <alignment horizontal="center" wrapText="1"/>
      <protection/>
    </xf>
    <xf numFmtId="0" fontId="51" fillId="2" borderId="10" xfId="34" applyFont="1" applyFill="1" applyBorder="1" applyProtection="1">
      <alignment/>
      <protection/>
    </xf>
    <xf numFmtId="49" fontId="51" fillId="2" borderId="10" xfId="34" applyNumberFormat="1" applyFont="1" applyFill="1" applyBorder="1" applyAlignment="1" applyProtection="1">
      <alignment horizontal="center" vertical="center" wrapText="1"/>
      <protection/>
    </xf>
    <xf numFmtId="184" fontId="51" fillId="2" borderId="10" xfId="34" applyNumberFormat="1" applyFont="1" applyFill="1" applyBorder="1" applyProtection="1">
      <alignment/>
      <protection/>
    </xf>
    <xf numFmtId="2" fontId="51" fillId="2" borderId="10" xfId="59" applyNumberFormat="1" applyFont="1" applyFill="1" applyBorder="1" applyAlignment="1" applyProtection="1">
      <alignment horizontal="center"/>
      <protection/>
    </xf>
    <xf numFmtId="0" fontId="51" fillId="2" borderId="10" xfId="60" applyFont="1" applyFill="1" applyBorder="1" applyAlignment="1">
      <alignment horizontal="center"/>
      <protection/>
    </xf>
    <xf numFmtId="0" fontId="4" fillId="9" borderId="11" xfId="34" applyFont="1" applyFill="1" applyBorder="1" applyAlignment="1" applyProtection="1">
      <alignment horizontal="center" vertical="center" wrapText="1"/>
      <protection/>
    </xf>
    <xf numFmtId="0" fontId="4" fillId="9" borderId="10" xfId="34" applyFont="1" applyFill="1" applyBorder="1" applyAlignment="1" applyProtection="1">
      <alignment horizontal="center" vertical="center" wrapText="1"/>
      <protection/>
    </xf>
    <xf numFmtId="179" fontId="4" fillId="0" borderId="10" xfId="34" applyNumberFormat="1" applyFont="1" applyFill="1" applyBorder="1" applyAlignment="1" applyProtection="1">
      <alignment horizontal="center" vertical="center" wrapText="1"/>
      <protection/>
    </xf>
    <xf numFmtId="188" fontId="4" fillId="0" borderId="10" xfId="34" applyNumberFormat="1" applyFont="1" applyFill="1" applyBorder="1" applyAlignment="1" applyProtection="1">
      <alignment horizontal="center" vertical="center" wrapText="1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>
      <alignment/>
      <protection/>
    </xf>
    <xf numFmtId="49" fontId="23" fillId="0" borderId="10" xfId="59" applyNumberFormat="1" applyFont="1" applyFill="1" applyBorder="1" applyAlignment="1">
      <alignment horizontal="center" vertical="center"/>
      <protection/>
    </xf>
    <xf numFmtId="0" fontId="23" fillId="0" borderId="10" xfId="59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0" fontId="23" fillId="0" borderId="23" xfId="59" applyFont="1" applyFill="1" applyBorder="1" applyAlignment="1">
      <alignment horizontal="center" vertical="center" wrapText="1"/>
      <protection/>
    </xf>
    <xf numFmtId="2" fontId="23" fillId="0" borderId="10" xfId="59" applyNumberFormat="1" applyFont="1" applyBorder="1" applyAlignment="1">
      <alignment horizontal="center"/>
      <protection/>
    </xf>
    <xf numFmtId="4" fontId="23" fillId="0" borderId="23" xfId="59" applyNumberFormat="1" applyFont="1" applyFill="1" applyBorder="1" applyAlignment="1">
      <alignment horizontal="center" vertical="center"/>
      <protection/>
    </xf>
    <xf numFmtId="2" fontId="23" fillId="0" borderId="10" xfId="59" applyNumberFormat="1" applyFont="1" applyFill="1" applyBorder="1" applyAlignment="1">
      <alignment horizontal="center" vertical="center" wrapText="1"/>
      <protection/>
    </xf>
    <xf numFmtId="0" fontId="23" fillId="0" borderId="23" xfId="59" applyFont="1" applyFill="1" applyBorder="1" applyAlignment="1">
      <alignment horizontal="center" vertical="center"/>
      <protection/>
    </xf>
    <xf numFmtId="2" fontId="23" fillId="0" borderId="23" xfId="59" applyNumberFormat="1" applyFont="1" applyFill="1" applyBorder="1" applyAlignment="1">
      <alignment horizontal="center" vertical="center"/>
      <protection/>
    </xf>
    <xf numFmtId="0" fontId="23" fillId="0" borderId="23" xfId="59" applyFont="1" applyBorder="1">
      <alignment/>
      <protection/>
    </xf>
    <xf numFmtId="0" fontId="23" fillId="0" borderId="10" xfId="59" applyFont="1" applyBorder="1">
      <alignment/>
      <protection/>
    </xf>
    <xf numFmtId="2" fontId="23" fillId="0" borderId="10" xfId="59" applyNumberFormat="1" applyFont="1" applyBorder="1">
      <alignment/>
      <protection/>
    </xf>
    <xf numFmtId="0" fontId="4" fillId="0" borderId="10" xfId="59" applyFont="1" applyBorder="1" applyAlignment="1">
      <alignment horizontal="center"/>
      <protection/>
    </xf>
    <xf numFmtId="4" fontId="18" fillId="0" borderId="10" xfId="59" applyNumberFormat="1" applyFont="1" applyBorder="1" applyAlignment="1">
      <alignment horizontal="center"/>
      <protection/>
    </xf>
    <xf numFmtId="0" fontId="4" fillId="0" borderId="10" xfId="59" applyFont="1" applyBorder="1">
      <alignment/>
      <protection/>
    </xf>
    <xf numFmtId="49" fontId="4" fillId="0" borderId="0" xfId="59" applyNumberFormat="1" applyFont="1">
      <alignment/>
      <protection/>
    </xf>
    <xf numFmtId="0" fontId="18" fillId="0" borderId="0" xfId="58" applyFont="1" applyBorder="1" applyAlignment="1" applyProtection="1">
      <alignment horizontal="left"/>
      <protection hidden="1"/>
    </xf>
    <xf numFmtId="0" fontId="4" fillId="0" borderId="0" xfId="59" applyFont="1" applyAlignment="1">
      <alignment horizontal="center"/>
      <protection/>
    </xf>
    <xf numFmtId="0" fontId="54" fillId="0" borderId="0" xfId="59" applyFont="1" applyAlignment="1">
      <alignment horizontal="center"/>
      <protection/>
    </xf>
    <xf numFmtId="0" fontId="23" fillId="0" borderId="0" xfId="58" applyFont="1" applyProtection="1">
      <alignment/>
      <protection hidden="1"/>
    </xf>
    <xf numFmtId="0" fontId="23" fillId="0" borderId="0" xfId="59" applyFont="1">
      <alignment/>
      <protection/>
    </xf>
    <xf numFmtId="0" fontId="4" fillId="0" borderId="0" xfId="58" applyFont="1" applyProtection="1">
      <alignment/>
      <protection hidden="1"/>
    </xf>
    <xf numFmtId="0" fontId="4" fillId="0" borderId="0" xfId="58" applyFont="1" applyAlignment="1" applyProtection="1">
      <alignment horizontal="left"/>
      <protection hidden="1"/>
    </xf>
    <xf numFmtId="0" fontId="4" fillId="0" borderId="0" xfId="58" applyFont="1" applyAlignment="1" applyProtection="1">
      <alignment horizontal="left" indent="3"/>
      <protection hidden="1"/>
    </xf>
    <xf numFmtId="0" fontId="8" fillId="0" borderId="10" xfId="34" applyFont="1" applyFill="1" applyBorder="1" applyAlignment="1" applyProtection="1">
      <alignment horizontal="center" vertical="center" wrapText="1"/>
      <protection/>
    </xf>
    <xf numFmtId="0" fontId="4" fillId="8" borderId="10" xfId="34" applyFont="1" applyFill="1" applyBorder="1" applyAlignment="1" applyProtection="1">
      <alignment horizontal="center" vertical="center" wrapText="1"/>
      <protection/>
    </xf>
    <xf numFmtId="0" fontId="4" fillId="9" borderId="37" xfId="34" applyFont="1" applyFill="1" applyBorder="1" applyAlignment="1" applyProtection="1">
      <alignment horizontal="center" vertical="center" wrapText="1"/>
      <protection/>
    </xf>
    <xf numFmtId="4" fontId="4" fillId="0" borderId="10" xfId="34" applyNumberFormat="1" applyFont="1" applyBorder="1" applyAlignment="1" applyProtection="1">
      <alignment horizontal="center" vertical="center" wrapText="1"/>
      <protection/>
    </xf>
    <xf numFmtId="10" fontId="4" fillId="0" borderId="10" xfId="34" applyNumberFormat="1" applyFont="1" applyBorder="1" applyAlignment="1" applyProtection="1">
      <alignment horizontal="center" vertical="center" wrapText="1"/>
      <protection/>
    </xf>
    <xf numFmtId="188" fontId="4" fillId="0" borderId="10" xfId="34" applyNumberFormat="1" applyFont="1" applyBorder="1" applyAlignment="1" applyProtection="1">
      <alignment horizontal="center" vertical="center" wrapText="1"/>
      <protection/>
    </xf>
    <xf numFmtId="0" fontId="23" fillId="0" borderId="10" xfId="59" applyFont="1" applyFill="1" applyBorder="1" applyAlignment="1">
      <alignment horizontal="center" wrapText="1"/>
      <protection/>
    </xf>
    <xf numFmtId="49" fontId="23" fillId="0" borderId="10" xfId="59" applyNumberFormat="1" applyFont="1" applyFill="1" applyBorder="1" applyAlignment="1">
      <alignment horizontal="center"/>
      <protection/>
    </xf>
    <xf numFmtId="2" fontId="4" fillId="0" borderId="10" xfId="34" applyNumberFormat="1" applyFont="1" applyFill="1" applyBorder="1" applyAlignment="1" applyProtection="1">
      <alignment horizontal="center" vertical="center" wrapText="1"/>
      <protection/>
    </xf>
    <xf numFmtId="0" fontId="4" fillId="9" borderId="10" xfId="34" applyFont="1" applyFill="1" applyBorder="1" applyAlignment="1" applyProtection="1">
      <alignment horizontal="center" vertical="center" wrapText="1"/>
      <protection locked="0"/>
    </xf>
    <xf numFmtId="0" fontId="4" fillId="9" borderId="37" xfId="34" applyFont="1" applyFill="1" applyBorder="1" applyAlignment="1" applyProtection="1">
      <alignment horizontal="center" vertical="center" wrapText="1"/>
      <protection locked="0"/>
    </xf>
    <xf numFmtId="0" fontId="4" fillId="9" borderId="11" xfId="34" applyFont="1" applyFill="1" applyBorder="1" applyAlignment="1" applyProtection="1">
      <alignment horizontal="center" vertical="center" wrapText="1"/>
      <protection locked="0"/>
    </xf>
    <xf numFmtId="4" fontId="23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34" applyFont="1" applyBorder="1" applyAlignment="1" applyProtection="1">
      <alignment horizontal="center" vertical="center"/>
      <protection/>
    </xf>
    <xf numFmtId="4" fontId="23" fillId="0" borderId="10" xfId="34" applyNumberFormat="1" applyFont="1" applyFill="1" applyBorder="1" applyAlignment="1" applyProtection="1">
      <alignment horizontal="center" vertical="center" wrapText="1"/>
      <protection/>
    </xf>
    <xf numFmtId="0" fontId="23" fillId="0" borderId="10" xfId="34" applyNumberFormat="1" applyFont="1" applyFill="1" applyBorder="1" applyAlignment="1" applyProtection="1">
      <alignment horizontal="center" vertical="center" wrapText="1"/>
      <protection/>
    </xf>
    <xf numFmtId="0" fontId="4" fillId="0" borderId="12" xfId="34" applyFont="1" applyBorder="1" applyProtection="1">
      <alignment/>
      <protection/>
    </xf>
    <xf numFmtId="0" fontId="23" fillId="0" borderId="10" xfId="34" applyFont="1" applyFill="1" applyBorder="1" applyAlignment="1" applyProtection="1">
      <alignment horizontal="center" vertical="center"/>
      <protection locked="0"/>
    </xf>
    <xf numFmtId="0" fontId="23" fillId="0" borderId="16" xfId="34" applyFont="1" applyFill="1" applyBorder="1" applyAlignment="1" applyProtection="1">
      <alignment horizontal="center" vertical="center"/>
      <protection locked="0"/>
    </xf>
    <xf numFmtId="0" fontId="23" fillId="0" borderId="16" xfId="34" applyFont="1" applyBorder="1" applyAlignment="1" applyProtection="1">
      <alignment horizontal="center" vertical="center" wrapText="1"/>
      <protection/>
    </xf>
    <xf numFmtId="0" fontId="23" fillId="0" borderId="57" xfId="34" applyFont="1" applyFill="1" applyBorder="1" applyAlignment="1" applyProtection="1">
      <alignment horizontal="center" vertical="center" wrapText="1"/>
      <protection/>
    </xf>
    <xf numFmtId="0" fontId="23" fillId="0" borderId="22" xfId="34" applyNumberFormat="1" applyFont="1" applyFill="1" applyBorder="1" applyAlignment="1" applyProtection="1">
      <alignment horizontal="center" vertical="center" wrapText="1"/>
      <protection/>
    </xf>
    <xf numFmtId="10" fontId="23" fillId="0" borderId="10" xfId="34" applyNumberFormat="1" applyFont="1" applyFill="1" applyBorder="1" applyAlignment="1" applyProtection="1">
      <alignment horizontal="center" vertical="center" wrapText="1"/>
      <protection/>
    </xf>
    <xf numFmtId="0" fontId="4" fillId="0" borderId="23" xfId="34" applyNumberFormat="1" applyFont="1" applyBorder="1" applyAlignment="1" applyProtection="1">
      <alignment/>
      <protection/>
    </xf>
    <xf numFmtId="9" fontId="4" fillId="0" borderId="11" xfId="34" applyNumberFormat="1" applyFont="1" applyBorder="1" applyAlignment="1" applyProtection="1">
      <alignment horizontal="right"/>
      <protection/>
    </xf>
    <xf numFmtId="4" fontId="4" fillId="0" borderId="22" xfId="34" applyNumberFormat="1" applyFont="1" applyFill="1" applyBorder="1" applyAlignment="1" applyProtection="1">
      <alignment horizontal="center" vertical="center" wrapText="1"/>
      <protection/>
    </xf>
    <xf numFmtId="9" fontId="4" fillId="0" borderId="16" xfId="34" applyNumberFormat="1" applyFont="1" applyFill="1" applyBorder="1" applyAlignment="1" applyProtection="1">
      <alignment horizontal="center" vertical="center" wrapText="1"/>
      <protection/>
    </xf>
    <xf numFmtId="0" fontId="4" fillId="0" borderId="22" xfId="34" applyFont="1" applyBorder="1" applyAlignment="1" applyProtection="1">
      <alignment horizontal="center"/>
      <protection/>
    </xf>
    <xf numFmtId="0" fontId="4" fillId="0" borderId="10" xfId="34" applyFont="1" applyBorder="1" applyAlignment="1" applyProtection="1">
      <alignment horizontal="center"/>
      <protection/>
    </xf>
    <xf numFmtId="9" fontId="4" fillId="0" borderId="16" xfId="34" applyNumberFormat="1" applyFont="1" applyBorder="1" applyAlignment="1" applyProtection="1">
      <alignment horizontal="center"/>
      <protection/>
    </xf>
    <xf numFmtId="2" fontId="4" fillId="0" borderId="65" xfId="34" applyNumberFormat="1" applyFont="1" applyBorder="1" applyAlignment="1" applyProtection="1">
      <alignment horizontal="center"/>
      <protection/>
    </xf>
    <xf numFmtId="4" fontId="4" fillId="0" borderId="22" xfId="34" applyNumberFormat="1" applyFont="1" applyFill="1" applyBorder="1" applyAlignment="1" applyProtection="1">
      <alignment horizontal="center" vertical="center" wrapText="1"/>
      <protection locked="0"/>
    </xf>
    <xf numFmtId="0" fontId="23" fillId="0" borderId="60" xfId="34" applyFont="1" applyFill="1" applyBorder="1" applyAlignment="1" applyProtection="1">
      <alignment horizontal="center" vertical="center" wrapText="1"/>
      <protection/>
    </xf>
    <xf numFmtId="0" fontId="23" fillId="0" borderId="36" xfId="34" applyNumberFormat="1" applyFont="1" applyFill="1" applyBorder="1" applyAlignment="1" applyProtection="1">
      <alignment horizontal="center" vertical="center" wrapText="1"/>
      <protection/>
    </xf>
    <xf numFmtId="4" fontId="23" fillId="0" borderId="14" xfId="34" applyNumberFormat="1" applyFont="1" applyFill="1" applyBorder="1" applyAlignment="1" applyProtection="1">
      <alignment horizontal="center" vertical="center" wrapText="1"/>
      <protection/>
    </xf>
    <xf numFmtId="10" fontId="23" fillId="0" borderId="14" xfId="34" applyNumberFormat="1" applyFont="1" applyFill="1" applyBorder="1" applyAlignment="1" applyProtection="1">
      <alignment horizontal="center" vertical="center" wrapText="1"/>
      <protection/>
    </xf>
    <xf numFmtId="0" fontId="4" fillId="0" borderId="66" xfId="34" applyNumberFormat="1" applyFont="1" applyBorder="1" applyAlignment="1" applyProtection="1">
      <alignment/>
      <protection/>
    </xf>
    <xf numFmtId="9" fontId="4" fillId="0" borderId="54" xfId="34" applyNumberFormat="1" applyFont="1" applyBorder="1" applyAlignment="1" applyProtection="1">
      <alignment horizontal="right"/>
      <protection/>
    </xf>
    <xf numFmtId="4" fontId="4" fillId="0" borderId="36" xfId="34" applyNumberFormat="1" applyFont="1" applyFill="1" applyBorder="1" applyAlignment="1" applyProtection="1">
      <alignment horizontal="center" vertical="center" wrapText="1"/>
      <protection/>
    </xf>
    <xf numFmtId="9" fontId="4" fillId="0" borderId="15" xfId="34" applyNumberFormat="1" applyFont="1" applyFill="1" applyBorder="1" applyAlignment="1" applyProtection="1">
      <alignment horizontal="center" vertical="center" wrapText="1"/>
      <protection/>
    </xf>
    <xf numFmtId="9" fontId="4" fillId="0" borderId="15" xfId="34" applyNumberFormat="1" applyFont="1" applyBorder="1" applyAlignment="1" applyProtection="1">
      <alignment horizontal="center"/>
      <protection/>
    </xf>
    <xf numFmtId="2" fontId="4" fillId="0" borderId="67" xfId="34" applyNumberFormat="1" applyFont="1" applyBorder="1" applyAlignment="1" applyProtection="1">
      <alignment horizontal="center"/>
      <protection/>
    </xf>
    <xf numFmtId="0" fontId="4" fillId="0" borderId="0" xfId="34" applyFont="1" applyBorder="1" applyProtection="1">
      <alignment/>
      <protection/>
    </xf>
    <xf numFmtId="10" fontId="4" fillId="0" borderId="0" xfId="34" applyNumberFormat="1" applyFont="1" applyAlignment="1">
      <alignment horizontal="center" vertical="center" wrapText="1"/>
      <protection/>
    </xf>
    <xf numFmtId="4" fontId="4" fillId="0" borderId="0" xfId="34" applyNumberFormat="1" applyFont="1" applyAlignment="1">
      <alignment horizontal="center" vertical="center" wrapText="1"/>
      <protection/>
    </xf>
    <xf numFmtId="213" fontId="24" fillId="0" borderId="0" xfId="34" applyNumberFormat="1" applyFont="1" applyFill="1" applyBorder="1" applyAlignment="1" applyProtection="1">
      <alignment horizontal="center" vertical="center"/>
      <protection hidden="1"/>
    </xf>
    <xf numFmtId="2" fontId="4" fillId="0" borderId="0" xfId="34" applyNumberFormat="1" applyFont="1" applyFill="1" applyBorder="1" applyAlignment="1">
      <alignment horizontal="center" vertical="center"/>
      <protection/>
    </xf>
    <xf numFmtId="184" fontId="24" fillId="0" borderId="0" xfId="34" applyNumberFormat="1" applyFont="1" applyFill="1" applyBorder="1" applyAlignment="1">
      <alignment horizontal="center" vertical="center"/>
      <protection/>
    </xf>
    <xf numFmtId="2" fontId="24" fillId="0" borderId="0" xfId="34" applyNumberFormat="1" applyFont="1" applyFill="1" applyBorder="1" applyAlignment="1">
      <alignment horizontal="center" vertical="center"/>
      <protection/>
    </xf>
    <xf numFmtId="0" fontId="24" fillId="0" borderId="0" xfId="34" applyFont="1" applyFill="1" applyAlignment="1" applyProtection="1">
      <alignment horizontal="left" vertical="top" wrapText="1"/>
      <protection hidden="1"/>
    </xf>
    <xf numFmtId="9" fontId="4" fillId="0" borderId="10" xfId="34" applyNumberFormat="1" applyFont="1" applyFill="1" applyBorder="1" applyAlignment="1" applyProtection="1">
      <alignment horizontal="center" vertical="center" wrapText="1"/>
      <protection/>
    </xf>
    <xf numFmtId="0" fontId="15" fillId="8" borderId="10" xfId="34" applyFont="1" applyFill="1" applyBorder="1" applyAlignment="1" applyProtection="1">
      <alignment horizontal="left" vertical="center" wrapText="1"/>
      <protection locked="0"/>
    </xf>
    <xf numFmtId="0" fontId="4" fillId="8" borderId="10" xfId="34" applyFont="1" applyFill="1" applyBorder="1" applyProtection="1">
      <alignment/>
      <protection/>
    </xf>
    <xf numFmtId="0" fontId="4" fillId="0" borderId="22" xfId="67" applyFont="1" applyBorder="1" applyAlignment="1">
      <alignment horizontal="right" vertical="center"/>
      <protection/>
    </xf>
    <xf numFmtId="0" fontId="19" fillId="0" borderId="22" xfId="67" applyFont="1" applyBorder="1" applyAlignment="1">
      <alignment horizontal="right" vertical="center"/>
      <protection/>
    </xf>
    <xf numFmtId="2" fontId="4" fillId="0" borderId="0" xfId="59" applyNumberFormat="1" applyFont="1">
      <alignment/>
      <protection/>
    </xf>
    <xf numFmtId="0" fontId="16" fillId="0" borderId="0" xfId="58" applyFont="1" applyBorder="1" applyAlignment="1" applyProtection="1">
      <alignment horizontal="left" vertical="top"/>
      <protection hidden="1"/>
    </xf>
    <xf numFmtId="0" fontId="24" fillId="0" borderId="0" xfId="59" applyFont="1" applyAlignment="1">
      <alignment horizontal="left" vertical="top"/>
      <protection/>
    </xf>
    <xf numFmtId="0" fontId="24" fillId="0" borderId="0" xfId="58" applyFont="1" applyAlignment="1" applyProtection="1">
      <alignment horizontal="left" vertical="top"/>
      <protection hidden="1"/>
    </xf>
    <xf numFmtId="2" fontId="24" fillId="0" borderId="0" xfId="59" applyNumberFormat="1" applyFont="1" applyAlignment="1">
      <alignment horizontal="left" vertical="top"/>
      <protection/>
    </xf>
    <xf numFmtId="184" fontId="0" fillId="0" borderId="11" xfId="36" applyNumberFormat="1" applyFont="1" applyFill="1" applyBorder="1" applyAlignment="1">
      <alignment horizontal="right" vertical="center"/>
      <protection/>
    </xf>
    <xf numFmtId="2" fontId="0" fillId="0" borderId="11" xfId="36" applyNumberFormat="1" applyFont="1" applyFill="1" applyBorder="1" applyAlignment="1">
      <alignment horizontal="right" vertical="center"/>
      <protection/>
    </xf>
    <xf numFmtId="2" fontId="0" fillId="0" borderId="11" xfId="36" applyNumberFormat="1" applyFont="1" applyFill="1" applyBorder="1" applyAlignment="1">
      <alignment horizontal="right" vertical="center"/>
      <protection/>
    </xf>
    <xf numFmtId="2" fontId="4" fillId="0" borderId="23" xfId="34" applyNumberFormat="1" applyFont="1" applyFill="1" applyBorder="1" applyAlignment="1">
      <alignment horizontal="right" vertical="center"/>
      <protection/>
    </xf>
    <xf numFmtId="0" fontId="4" fillId="2" borderId="10" xfId="36" applyFont="1" applyFill="1" applyBorder="1" applyAlignment="1">
      <alignment horizontal="center" vertical="center"/>
      <protection/>
    </xf>
    <xf numFmtId="0" fontId="24" fillId="0" borderId="0" xfId="58" applyFont="1" applyAlignment="1" applyProtection="1">
      <alignment horizontal="left" indent="3"/>
      <protection hidden="1"/>
    </xf>
    <xf numFmtId="0" fontId="11" fillId="17" borderId="11" xfId="36" applyFont="1" applyFill="1" applyBorder="1" applyAlignment="1">
      <alignment horizontal="center" vertical="center"/>
      <protection/>
    </xf>
    <xf numFmtId="2" fontId="9" fillId="17" borderId="11" xfId="36" applyNumberFormat="1" applyFont="1" applyFill="1" applyBorder="1" applyAlignment="1">
      <alignment horizontal="right" vertical="center"/>
      <protection/>
    </xf>
    <xf numFmtId="2" fontId="11" fillId="17" borderId="22" xfId="36" applyNumberFormat="1" applyFont="1" applyFill="1" applyBorder="1" applyAlignment="1">
      <alignment horizontal="right" vertical="center"/>
      <protection/>
    </xf>
    <xf numFmtId="0" fontId="4" fillId="0" borderId="27" xfId="34" applyFont="1" applyFill="1" applyBorder="1" applyAlignment="1">
      <alignment horizontal="right" vertical="center"/>
      <protection/>
    </xf>
    <xf numFmtId="2" fontId="4" fillId="0" borderId="20" xfId="36" applyNumberFormat="1" applyFont="1" applyFill="1" applyBorder="1" applyAlignment="1">
      <alignment horizontal="right" vertical="center"/>
      <protection/>
    </xf>
    <xf numFmtId="2" fontId="4" fillId="0" borderId="33" xfId="36" applyNumberFormat="1" applyFont="1" applyFill="1" applyBorder="1" applyAlignment="1">
      <alignment horizontal="right" vertical="center"/>
      <protection/>
    </xf>
    <xf numFmtId="0" fontId="0" fillId="0" borderId="0" xfId="36" applyFont="1" applyFill="1" applyBorder="1" applyAlignment="1">
      <alignment horizontal="center" vertical="center" wrapText="1"/>
      <protection/>
    </xf>
    <xf numFmtId="0" fontId="47" fillId="0" borderId="0" xfId="36" applyFont="1" applyFill="1" applyBorder="1" applyAlignment="1">
      <alignment horizontal="center" vertical="center" wrapText="1"/>
      <protection/>
    </xf>
    <xf numFmtId="4" fontId="0" fillId="0" borderId="0" xfId="36" applyNumberFormat="1" applyFont="1" applyFill="1" applyAlignment="1">
      <alignment horizontal="center" vertical="center" wrapText="1"/>
      <protection/>
    </xf>
    <xf numFmtId="0" fontId="14" fillId="0" borderId="0" xfId="59" applyFill="1">
      <alignment/>
      <protection/>
    </xf>
    <xf numFmtId="2" fontId="23" fillId="2" borderId="23" xfId="36" applyNumberFormat="1" applyFont="1" applyFill="1" applyBorder="1" applyAlignment="1">
      <alignment horizontal="center" vertical="center"/>
      <protection/>
    </xf>
    <xf numFmtId="49" fontId="50" fillId="0" borderId="10" xfId="59" applyNumberFormat="1" applyFont="1" applyFill="1" applyBorder="1" applyAlignment="1" applyProtection="1">
      <alignment horizontal="right" vertical="center" wrapText="1"/>
      <protection/>
    </xf>
    <xf numFmtId="4" fontId="51" fillId="0" borderId="10" xfId="59" applyNumberFormat="1" applyFont="1" applyFill="1" applyBorder="1" applyAlignment="1" applyProtection="1">
      <alignment horizontal="center" vertical="center"/>
      <protection locked="0"/>
    </xf>
    <xf numFmtId="49" fontId="51" fillId="0" borderId="10" xfId="59" applyNumberFormat="1" applyFont="1" applyFill="1" applyBorder="1" applyAlignment="1" applyProtection="1">
      <alignment horizontal="center" vertical="center"/>
      <protection locked="0"/>
    </xf>
    <xf numFmtId="0" fontId="19" fillId="0" borderId="10" xfId="36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23" fillId="2" borderId="10" xfId="36" applyFont="1" applyFill="1" applyBorder="1" applyAlignment="1" applyProtection="1">
      <alignment horizontal="left" vertical="center" wrapText="1"/>
      <protection/>
    </xf>
    <xf numFmtId="0" fontId="23" fillId="0" borderId="10" xfId="36" applyFont="1" applyFill="1" applyBorder="1" applyAlignment="1" applyProtection="1">
      <alignment horizontal="left" vertical="center" wrapText="1"/>
      <protection/>
    </xf>
    <xf numFmtId="0" fontId="23" fillId="2" borderId="10" xfId="0" applyFont="1" applyFill="1" applyBorder="1" applyAlignment="1">
      <alignment wrapText="1"/>
    </xf>
    <xf numFmtId="0" fontId="23" fillId="2" borderId="10" xfId="34" applyFont="1" applyFill="1" applyBorder="1" applyAlignment="1" applyProtection="1">
      <alignment horizontal="left" vertical="center" wrapText="1"/>
      <protection/>
    </xf>
    <xf numFmtId="0" fontId="23" fillId="2" borderId="10" xfId="36" applyFont="1" applyFill="1" applyBorder="1" applyAlignment="1">
      <alignment horizontal="left" vertical="center" wrapText="1"/>
      <protection/>
    </xf>
    <xf numFmtId="0" fontId="23" fillId="0" borderId="0" xfId="59" applyFont="1" applyAlignment="1">
      <alignment horizontal="center"/>
      <protection/>
    </xf>
    <xf numFmtId="0" fontId="23" fillId="0" borderId="0" xfId="58" applyFont="1" applyAlignment="1" applyProtection="1">
      <alignment horizontal="left"/>
      <protection hidden="1"/>
    </xf>
    <xf numFmtId="0" fontId="23" fillId="0" borderId="0" xfId="58" applyFont="1" applyAlignment="1" applyProtection="1">
      <alignment horizontal="left" indent="3"/>
      <protection hidden="1"/>
    </xf>
    <xf numFmtId="2" fontId="4" fillId="0" borderId="22" xfId="67" applyNumberFormat="1" applyFont="1" applyBorder="1" applyAlignment="1">
      <alignment horizontal="right" vertical="center"/>
      <protection/>
    </xf>
    <xf numFmtId="0" fontId="0" fillId="0" borderId="65" xfId="36" applyFont="1" applyBorder="1" applyAlignment="1">
      <alignment horizontal="center" vertical="center" wrapText="1"/>
      <protection/>
    </xf>
    <xf numFmtId="0" fontId="0" fillId="9" borderId="65" xfId="36" applyFont="1" applyFill="1" applyBorder="1" applyAlignment="1">
      <alignment horizontal="center" vertical="center" wrapText="1"/>
      <protection/>
    </xf>
    <xf numFmtId="0" fontId="11" fillId="9" borderId="68" xfId="36" applyFont="1" applyFill="1" applyBorder="1" applyAlignment="1">
      <alignment/>
      <protection/>
    </xf>
    <xf numFmtId="0" fontId="4" fillId="0" borderId="65" xfId="36" applyFont="1" applyFill="1" applyBorder="1" applyAlignment="1">
      <alignment vertical="center"/>
      <protection/>
    </xf>
    <xf numFmtId="0" fontId="8" fillId="0" borderId="69" xfId="36" applyFont="1" applyFill="1" applyBorder="1" applyAlignment="1">
      <alignment horizontal="center" vertical="center" wrapText="1"/>
      <protection/>
    </xf>
    <xf numFmtId="183" fontId="8" fillId="20" borderId="70" xfId="36" applyNumberFormat="1" applyFont="1" applyFill="1" applyBorder="1" applyAlignment="1">
      <alignment horizontal="center" vertical="center" wrapText="1"/>
      <protection/>
    </xf>
    <xf numFmtId="2" fontId="11" fillId="9" borderId="63" xfId="36" applyNumberFormat="1" applyFont="1" applyFill="1" applyBorder="1" applyAlignment="1">
      <alignment vertical="center"/>
      <protection/>
    </xf>
    <xf numFmtId="0" fontId="8" fillId="20" borderId="31" xfId="36" applyFont="1" applyFill="1" applyBorder="1" applyAlignment="1">
      <alignment vertical="center"/>
      <protection/>
    </xf>
    <xf numFmtId="0" fontId="0" fillId="0" borderId="10" xfId="36" applyFont="1" applyFill="1" applyBorder="1" applyAlignment="1" applyProtection="1">
      <alignment horizontal="center" vertical="center" wrapText="1"/>
      <protection/>
    </xf>
    <xf numFmtId="0" fontId="0" fillId="19" borderId="10" xfId="36" applyFont="1" applyFill="1" applyBorder="1" applyAlignment="1" applyProtection="1">
      <alignment vertical="center" wrapText="1"/>
      <protection/>
    </xf>
    <xf numFmtId="0" fontId="11" fillId="19" borderId="10" xfId="36" applyFont="1" applyFill="1" applyBorder="1" applyAlignment="1">
      <alignment horizontal="center" vertical="center"/>
      <protection/>
    </xf>
    <xf numFmtId="2" fontId="9" fillId="19" borderId="10" xfId="36" applyNumberFormat="1" applyFont="1" applyFill="1" applyBorder="1" applyAlignment="1">
      <alignment horizontal="right" vertical="center"/>
      <protection/>
    </xf>
    <xf numFmtId="2" fontId="11" fillId="19" borderId="23" xfId="36" applyNumberFormat="1" applyFont="1" applyFill="1" applyBorder="1" applyAlignment="1">
      <alignment horizontal="right" vertical="center"/>
      <protection/>
    </xf>
    <xf numFmtId="2" fontId="8" fillId="19" borderId="57" xfId="36" applyNumberFormat="1" applyFont="1" applyFill="1" applyBorder="1" applyAlignment="1">
      <alignment horizontal="right" vertical="center"/>
      <protection/>
    </xf>
    <xf numFmtId="0" fontId="11" fillId="20" borderId="10" xfId="36" applyFont="1" applyFill="1" applyBorder="1" applyAlignment="1">
      <alignment horizontal="center" vertical="center"/>
      <protection/>
    </xf>
    <xf numFmtId="2" fontId="9" fillId="20" borderId="10" xfId="36" applyNumberFormat="1" applyFont="1" applyFill="1" applyBorder="1" applyAlignment="1">
      <alignment horizontal="right" vertical="center"/>
      <protection/>
    </xf>
    <xf numFmtId="2" fontId="11" fillId="20" borderId="23" xfId="36" applyNumberFormat="1" applyFont="1" applyFill="1" applyBorder="1" applyAlignment="1">
      <alignment horizontal="right" vertical="center"/>
      <protection/>
    </xf>
    <xf numFmtId="0" fontId="4" fillId="20" borderId="22" xfId="36" applyFont="1" applyFill="1" applyBorder="1" applyAlignment="1">
      <alignment horizontal="right" vertical="center"/>
      <protection/>
    </xf>
    <xf numFmtId="0" fontId="4" fillId="20" borderId="52" xfId="36" applyFont="1" applyFill="1" applyBorder="1" applyAlignment="1">
      <alignment horizontal="right" vertical="center"/>
      <protection/>
    </xf>
    <xf numFmtId="0" fontId="4" fillId="21" borderId="10" xfId="36" applyFont="1" applyFill="1" applyBorder="1" applyAlignment="1">
      <alignment horizontal="left" vertical="center" wrapText="1"/>
      <protection/>
    </xf>
    <xf numFmtId="2" fontId="8" fillId="0" borderId="21" xfId="36" applyNumberFormat="1" applyFont="1" applyFill="1" applyBorder="1" applyAlignment="1">
      <alignment horizontal="right" vertical="center"/>
      <protection/>
    </xf>
    <xf numFmtId="2" fontId="8" fillId="0" borderId="22" xfId="36" applyNumberFormat="1" applyFont="1" applyFill="1" applyBorder="1" applyAlignment="1">
      <alignment horizontal="right" vertical="center"/>
      <protection/>
    </xf>
    <xf numFmtId="0" fontId="11" fillId="9" borderId="32" xfId="36" applyFont="1" applyFill="1" applyBorder="1" applyAlignment="1">
      <alignment/>
      <protection/>
    </xf>
    <xf numFmtId="0" fontId="4" fillId="20" borderId="23" xfId="36" applyFont="1" applyFill="1" applyBorder="1" applyAlignment="1">
      <alignment horizontal="right" vertical="center"/>
      <protection/>
    </xf>
    <xf numFmtId="2" fontId="8" fillId="0" borderId="23" xfId="36" applyNumberFormat="1" applyFont="1" applyFill="1" applyBorder="1" applyAlignment="1">
      <alignment horizontal="right" vertical="center"/>
      <protection/>
    </xf>
    <xf numFmtId="1" fontId="4" fillId="0" borderId="23" xfId="67" applyNumberFormat="1" applyFont="1" applyBorder="1" applyAlignment="1">
      <alignment horizontal="right" vertical="center"/>
      <protection/>
    </xf>
    <xf numFmtId="2" fontId="4" fillId="0" borderId="0" xfId="36" applyNumberFormat="1" applyFont="1" applyFill="1" applyBorder="1" applyAlignment="1">
      <alignment horizontal="right" vertical="center"/>
      <protection/>
    </xf>
    <xf numFmtId="0" fontId="4" fillId="0" borderId="52" xfId="36" applyFont="1" applyFill="1" applyBorder="1" applyAlignment="1">
      <alignment horizontal="right" vertical="center"/>
      <protection/>
    </xf>
    <xf numFmtId="0" fontId="4" fillId="0" borderId="40" xfId="36" applyFont="1" applyFill="1" applyBorder="1" applyAlignment="1">
      <alignment horizontal="right" vertical="center"/>
      <protection/>
    </xf>
    <xf numFmtId="2" fontId="19" fillId="0" borderId="22" xfId="36" applyNumberFormat="1" applyFont="1" applyFill="1" applyBorder="1" applyAlignment="1">
      <alignment horizontal="right" vertical="center"/>
      <protection/>
    </xf>
    <xf numFmtId="2" fontId="19" fillId="2" borderId="16" xfId="36" applyNumberFormat="1" applyFont="1" applyFill="1" applyBorder="1" applyAlignment="1">
      <alignment horizontal="right" vertical="center"/>
      <protection/>
    </xf>
    <xf numFmtId="1" fontId="8" fillId="21" borderId="22" xfId="36" applyNumberFormat="1" applyFont="1" applyFill="1" applyBorder="1" applyAlignment="1">
      <alignment horizontal="right" vertical="center"/>
      <protection/>
    </xf>
    <xf numFmtId="2" fontId="19" fillId="0" borderId="22" xfId="36" applyNumberFormat="1" applyFont="1" applyFill="1" applyBorder="1" applyAlignment="1" applyProtection="1">
      <alignment horizontal="right" vertical="center"/>
      <protection/>
    </xf>
    <xf numFmtId="2" fontId="19" fillId="0" borderId="16" xfId="36" applyNumberFormat="1" applyFont="1" applyFill="1" applyBorder="1" applyAlignment="1">
      <alignment horizontal="right" vertical="center"/>
      <protection/>
    </xf>
    <xf numFmtId="0" fontId="50" fillId="0" borderId="10" xfId="59" applyFont="1" applyFill="1" applyBorder="1" applyAlignment="1" applyProtection="1">
      <alignment wrapText="1"/>
      <protection/>
    </xf>
    <xf numFmtId="49" fontId="50" fillId="0" borderId="10" xfId="59" applyNumberFormat="1" applyFont="1" applyFill="1" applyBorder="1" applyAlignment="1" applyProtection="1">
      <alignment horizontal="center" vertical="center"/>
      <protection locked="0"/>
    </xf>
    <xf numFmtId="0" fontId="51" fillId="0" borderId="10" xfId="59" applyFont="1" applyFill="1" applyBorder="1" applyAlignment="1" applyProtection="1">
      <alignment wrapText="1"/>
      <protection/>
    </xf>
    <xf numFmtId="0" fontId="24" fillId="0" borderId="0" xfId="58" applyFont="1" applyBorder="1" applyAlignment="1" applyProtection="1">
      <alignment horizontal="left"/>
      <protection hidden="1"/>
    </xf>
    <xf numFmtId="2" fontId="19" fillId="0" borderId="22" xfId="67" applyNumberFormat="1" applyFont="1" applyBorder="1" applyAlignment="1">
      <alignment horizontal="right" vertical="center"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2" fontId="43" fillId="0" borderId="10" xfId="59" applyNumberFormat="1" applyFont="1" applyBorder="1" applyAlignment="1">
      <alignment horizontal="center"/>
      <protection/>
    </xf>
    <xf numFmtId="2" fontId="43" fillId="0" borderId="10" xfId="59" applyNumberFormat="1" applyFont="1" applyFill="1" applyBorder="1" applyAlignment="1">
      <alignment horizontal="center" vertical="center" wrapText="1"/>
      <protection/>
    </xf>
    <xf numFmtId="2" fontId="43" fillId="0" borderId="23" xfId="59" applyNumberFormat="1" applyFont="1" applyFill="1" applyBorder="1" applyAlignment="1">
      <alignment horizontal="center" vertical="center"/>
      <protection/>
    </xf>
    <xf numFmtId="0" fontId="43" fillId="0" borderId="10" xfId="59" applyFont="1" applyBorder="1">
      <alignment/>
      <protection/>
    </xf>
    <xf numFmtId="49" fontId="43" fillId="0" borderId="10" xfId="59" applyNumberFormat="1" applyFont="1" applyBorder="1" applyAlignment="1">
      <alignment horizontal="left"/>
      <protection/>
    </xf>
    <xf numFmtId="0" fontId="43" fillId="0" borderId="10" xfId="59" applyFont="1" applyBorder="1" applyAlignment="1">
      <alignment horizontal="left" wrapText="1"/>
      <protection/>
    </xf>
    <xf numFmtId="0" fontId="43" fillId="0" borderId="10" xfId="59" applyFont="1" applyBorder="1" applyAlignment="1">
      <alignment horizontal="center" wrapText="1"/>
      <protection/>
    </xf>
    <xf numFmtId="0" fontId="43" fillId="0" borderId="10" xfId="59" applyFont="1" applyBorder="1" applyAlignment="1">
      <alignment horizontal="center"/>
      <protection/>
    </xf>
    <xf numFmtId="2" fontId="4" fillId="0" borderId="21" xfId="36" applyNumberFormat="1" applyFont="1" applyFill="1" applyBorder="1" applyAlignment="1">
      <alignment horizontal="right" vertical="center"/>
      <protection/>
    </xf>
    <xf numFmtId="190" fontId="4" fillId="2" borderId="22" xfId="36" applyNumberFormat="1" applyFont="1" applyFill="1" applyBorder="1" applyAlignment="1">
      <alignment horizontal="right" vertical="center"/>
      <protection/>
    </xf>
    <xf numFmtId="2" fontId="8" fillId="20" borderId="11" xfId="36" applyNumberFormat="1" applyFont="1" applyFill="1" applyBorder="1" applyAlignment="1">
      <alignment horizontal="left" vertical="center" wrapText="1"/>
      <protection/>
    </xf>
    <xf numFmtId="2" fontId="8" fillId="20" borderId="22" xfId="36" applyNumberFormat="1" applyFont="1" applyFill="1" applyBorder="1" applyAlignment="1">
      <alignment horizontal="left" vertical="center" wrapText="1"/>
      <protection/>
    </xf>
    <xf numFmtId="0" fontId="24" fillId="0" borderId="0" xfId="59" applyFont="1" applyAlignment="1">
      <alignment horizontal="left"/>
      <protection/>
    </xf>
    <xf numFmtId="0" fontId="49" fillId="0" borderId="0" xfId="59" applyFont="1" applyAlignment="1">
      <alignment horizontal="left"/>
      <protection/>
    </xf>
    <xf numFmtId="0" fontId="55" fillId="0" borderId="0" xfId="59" applyFont="1" applyAlignment="1">
      <alignment horizontal="left"/>
      <protection/>
    </xf>
    <xf numFmtId="184" fontId="23" fillId="0" borderId="0" xfId="34" applyNumberFormat="1" applyFont="1" applyFill="1" applyBorder="1" applyAlignment="1">
      <alignment horizontal="center" vertical="center"/>
      <protection/>
    </xf>
    <xf numFmtId="0" fontId="23" fillId="0" borderId="0" xfId="34" applyFont="1" applyAlignment="1">
      <alignment horizontal="center" vertical="center" wrapText="1"/>
      <protection/>
    </xf>
    <xf numFmtId="0" fontId="57" fillId="0" borderId="0" xfId="59" applyFont="1">
      <alignment/>
      <protection/>
    </xf>
    <xf numFmtId="0" fontId="57" fillId="0" borderId="0" xfId="34" applyFont="1" applyAlignment="1" applyProtection="1">
      <alignment vertical="center"/>
      <protection/>
    </xf>
    <xf numFmtId="0" fontId="57" fillId="0" borderId="0" xfId="34" applyFont="1" applyProtection="1">
      <alignment/>
      <protection/>
    </xf>
    <xf numFmtId="0" fontId="58" fillId="0" borderId="0" xfId="59" applyFont="1">
      <alignment/>
      <protection/>
    </xf>
    <xf numFmtId="0" fontId="4" fillId="0" borderId="37" xfId="36" applyFont="1" applyFill="1" applyBorder="1" applyAlignment="1">
      <alignment horizontal="center" vertical="center"/>
      <protection/>
    </xf>
    <xf numFmtId="0" fontId="4" fillId="2" borderId="37" xfId="36" applyFont="1" applyFill="1" applyBorder="1" applyAlignment="1">
      <alignment horizontal="center" vertical="center"/>
      <protection/>
    </xf>
    <xf numFmtId="0" fontId="4" fillId="0" borderId="37" xfId="36" applyNumberFormat="1" applyFont="1" applyFill="1" applyBorder="1" applyAlignment="1" applyProtection="1">
      <alignment horizontal="center" vertical="center"/>
      <protection/>
    </xf>
    <xf numFmtId="0" fontId="8" fillId="20" borderId="11" xfId="36" applyFont="1" applyFill="1" applyBorder="1" applyAlignment="1">
      <alignment horizontal="left" vertical="center" wrapText="1"/>
      <protection/>
    </xf>
    <xf numFmtId="0" fontId="8" fillId="0" borderId="11" xfId="36" applyFont="1" applyFill="1" applyBorder="1" applyAlignment="1">
      <alignment horizontal="left" vertical="center" wrapText="1"/>
      <protection/>
    </xf>
    <xf numFmtId="2" fontId="8" fillId="0" borderId="11" xfId="36" applyNumberFormat="1" applyFont="1" applyFill="1" applyBorder="1" applyAlignment="1">
      <alignment horizontal="left" vertical="center" wrapText="1"/>
      <protection/>
    </xf>
    <xf numFmtId="2" fontId="8" fillId="0" borderId="22" xfId="36" applyNumberFormat="1" applyFont="1" applyFill="1" applyBorder="1" applyAlignment="1">
      <alignment horizontal="left" vertical="center" wrapText="1"/>
      <protection/>
    </xf>
    <xf numFmtId="2" fontId="8" fillId="0" borderId="16" xfId="36" applyNumberFormat="1" applyFont="1" applyFill="1" applyBorder="1" applyAlignment="1">
      <alignment horizontal="right" vertical="center" wrapText="1"/>
      <protection/>
    </xf>
    <xf numFmtId="2" fontId="8" fillId="0" borderId="57" xfId="36" applyNumberFormat="1" applyFont="1" applyFill="1" applyBorder="1" applyAlignment="1">
      <alignment horizontal="right" vertical="center"/>
      <protection/>
    </xf>
    <xf numFmtId="2" fontId="8" fillId="0" borderId="24" xfId="36" applyNumberFormat="1" applyFont="1" applyFill="1" applyBorder="1" applyAlignment="1">
      <alignment horizontal="right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19" borderId="22" xfId="36" applyNumberFormat="1" applyFont="1" applyFill="1" applyBorder="1" applyAlignment="1">
      <alignment horizontal="center"/>
      <protection/>
    </xf>
    <xf numFmtId="0" fontId="8" fillId="19" borderId="10" xfId="0" applyFont="1" applyFill="1" applyBorder="1" applyAlignment="1">
      <alignment horizontal="left" vertical="center" wrapText="1"/>
    </xf>
    <xf numFmtId="2" fontId="4" fillId="0" borderId="16" xfId="36" applyNumberFormat="1" applyFont="1" applyFill="1" applyBorder="1" applyAlignment="1">
      <alignment horizontal="right" vertical="center" wrapText="1"/>
      <protection/>
    </xf>
    <xf numFmtId="0" fontId="8" fillId="19" borderId="11" xfId="36" applyFont="1" applyFill="1" applyBorder="1" applyAlignment="1">
      <alignment horizontal="left" vertical="center" wrapText="1"/>
      <protection/>
    </xf>
    <xf numFmtId="2" fontId="8" fillId="19" borderId="11" xfId="36" applyNumberFormat="1" applyFont="1" applyFill="1" applyBorder="1" applyAlignment="1">
      <alignment horizontal="left" vertical="center" wrapText="1"/>
      <protection/>
    </xf>
    <xf numFmtId="2" fontId="8" fillId="19" borderId="22" xfId="36" applyNumberFormat="1" applyFont="1" applyFill="1" applyBorder="1" applyAlignment="1">
      <alignment horizontal="left" vertical="center" wrapText="1"/>
      <protection/>
    </xf>
    <xf numFmtId="2" fontId="8" fillId="19" borderId="16" xfId="36" applyNumberFormat="1" applyFont="1" applyFill="1" applyBorder="1" applyAlignment="1">
      <alignment horizontal="right" vertical="center" wrapText="1"/>
      <protection/>
    </xf>
    <xf numFmtId="0" fontId="8" fillId="20" borderId="10" xfId="0" applyFont="1" applyFill="1" applyBorder="1" applyAlignment="1">
      <alignment horizontal="left" vertical="center" wrapText="1"/>
    </xf>
    <xf numFmtId="0" fontId="4" fillId="20" borderId="24" xfId="36" applyFont="1" applyFill="1" applyBorder="1" applyAlignment="1">
      <alignment horizontal="center" vertical="center"/>
      <protection/>
    </xf>
    <xf numFmtId="0" fontId="4" fillId="20" borderId="10" xfId="36" applyFont="1" applyFill="1" applyBorder="1" applyAlignment="1">
      <alignment horizontal="center" vertical="center" wrapText="1"/>
      <protection/>
    </xf>
    <xf numFmtId="0" fontId="4" fillId="20" borderId="16" xfId="36" applyFont="1" applyFill="1" applyBorder="1" applyAlignment="1">
      <alignment horizontal="center" vertical="center" wrapText="1"/>
      <protection/>
    </xf>
    <xf numFmtId="0" fontId="4" fillId="20" borderId="0" xfId="36" applyFont="1" applyFill="1" applyAlignment="1">
      <alignment horizontal="center" vertical="center" wrapText="1"/>
      <protection/>
    </xf>
    <xf numFmtId="49" fontId="8" fillId="0" borderId="22" xfId="34" applyNumberFormat="1" applyFont="1" applyFill="1" applyBorder="1" applyAlignment="1" applyProtection="1">
      <alignment horizontal="center" vertical="center" wrapText="1"/>
      <protection/>
    </xf>
    <xf numFmtId="0" fontId="8" fillId="0" borderId="10" xfId="34" applyFont="1" applyFill="1" applyBorder="1" applyAlignment="1">
      <alignment horizontal="center" vertical="center" wrapText="1"/>
      <protection/>
    </xf>
    <xf numFmtId="0" fontId="4" fillId="0" borderId="10" xfId="36" applyFont="1" applyFill="1" applyBorder="1" applyAlignment="1" applyProtection="1">
      <alignment horizontal="left" vertical="center" wrapText="1"/>
      <protection/>
    </xf>
    <xf numFmtId="0" fontId="8" fillId="22" borderId="10" xfId="34" applyFont="1" applyFill="1" applyBorder="1" applyAlignment="1">
      <alignment horizontal="left" vertical="center" wrapText="1"/>
      <protection/>
    </xf>
    <xf numFmtId="0" fontId="8" fillId="20" borderId="10" xfId="34" applyFont="1" applyFill="1" applyBorder="1" applyAlignment="1">
      <alignment horizontal="left" vertical="center" wrapText="1"/>
      <protection/>
    </xf>
    <xf numFmtId="0" fontId="11" fillId="22" borderId="11" xfId="36" applyFont="1" applyFill="1" applyBorder="1" applyAlignment="1">
      <alignment horizontal="center" vertical="center"/>
      <protection/>
    </xf>
    <xf numFmtId="2" fontId="9" fillId="22" borderId="11" xfId="36" applyNumberFormat="1" applyFont="1" applyFill="1" applyBorder="1" applyAlignment="1">
      <alignment horizontal="right" vertical="center"/>
      <protection/>
    </xf>
    <xf numFmtId="2" fontId="11" fillId="22" borderId="22" xfId="36" applyNumberFormat="1" applyFont="1" applyFill="1" applyBorder="1" applyAlignment="1">
      <alignment horizontal="right" vertical="center"/>
      <protection/>
    </xf>
    <xf numFmtId="2" fontId="4" fillId="22" borderId="16" xfId="36" applyNumberFormat="1" applyFont="1" applyFill="1" applyBorder="1" applyAlignment="1">
      <alignment horizontal="right" vertical="center"/>
      <protection/>
    </xf>
    <xf numFmtId="2" fontId="8" fillId="22" borderId="22" xfId="36" applyNumberFormat="1" applyFont="1" applyFill="1" applyBorder="1" applyAlignment="1">
      <alignment horizontal="right" vertical="center"/>
      <protection/>
    </xf>
    <xf numFmtId="2" fontId="8" fillId="22" borderId="21" xfId="36" applyNumberFormat="1" applyFont="1" applyFill="1" applyBorder="1" applyAlignment="1">
      <alignment horizontal="right" vertical="center"/>
      <protection/>
    </xf>
    <xf numFmtId="2" fontId="8" fillId="22" borderId="23" xfId="36" applyNumberFormat="1" applyFont="1" applyFill="1" applyBorder="1" applyAlignment="1">
      <alignment horizontal="right" vertical="center"/>
      <protection/>
    </xf>
    <xf numFmtId="0" fontId="11" fillId="20" borderId="11" xfId="36" applyFont="1" applyFill="1" applyBorder="1" applyAlignment="1">
      <alignment horizontal="center" vertical="center"/>
      <protection/>
    </xf>
    <xf numFmtId="2" fontId="9" fillId="20" borderId="11" xfId="36" applyNumberFormat="1" applyFont="1" applyFill="1" applyBorder="1" applyAlignment="1">
      <alignment horizontal="right" vertical="center"/>
      <protection/>
    </xf>
    <xf numFmtId="2" fontId="11" fillId="20" borderId="22" xfId="36" applyNumberFormat="1" applyFont="1" applyFill="1" applyBorder="1" applyAlignment="1">
      <alignment horizontal="right" vertical="center"/>
      <protection/>
    </xf>
    <xf numFmtId="2" fontId="4" fillId="20" borderId="16" xfId="36" applyNumberFormat="1" applyFont="1" applyFill="1" applyBorder="1" applyAlignment="1">
      <alignment horizontal="right" vertical="center"/>
      <protection/>
    </xf>
    <xf numFmtId="2" fontId="8" fillId="20" borderId="22" xfId="36" applyNumberFormat="1" applyFont="1" applyFill="1" applyBorder="1" applyAlignment="1">
      <alignment horizontal="right" vertical="center"/>
      <protection/>
    </xf>
    <xf numFmtId="2" fontId="8" fillId="20" borderId="21" xfId="36" applyNumberFormat="1" applyFont="1" applyFill="1" applyBorder="1" applyAlignment="1">
      <alignment horizontal="right" vertical="center"/>
      <protection/>
    </xf>
    <xf numFmtId="2" fontId="8" fillId="20" borderId="23" xfId="36" applyNumberFormat="1" applyFont="1" applyFill="1" applyBorder="1" applyAlignment="1">
      <alignment horizontal="right" vertical="center"/>
      <protection/>
    </xf>
    <xf numFmtId="2" fontId="4" fillId="2" borderId="34" xfId="36" applyNumberFormat="1" applyFont="1" applyFill="1" applyBorder="1" applyAlignment="1">
      <alignment horizontal="right" vertical="center"/>
      <protection/>
    </xf>
    <xf numFmtId="0" fontId="4" fillId="0" borderId="11" xfId="67" applyFont="1" applyBorder="1" applyAlignment="1">
      <alignment horizontal="center" vertical="center" wrapText="1"/>
      <protection/>
    </xf>
    <xf numFmtId="2" fontId="4" fillId="0" borderId="26" xfId="67" applyNumberFormat="1" applyFont="1" applyBorder="1" applyAlignment="1">
      <alignment horizontal="center" vertical="center"/>
      <protection/>
    </xf>
    <xf numFmtId="0" fontId="4" fillId="0" borderId="27" xfId="67" applyFont="1" applyBorder="1" applyAlignment="1">
      <alignment horizontal="right" vertical="center"/>
      <protection/>
    </xf>
    <xf numFmtId="0" fontId="4" fillId="0" borderId="11" xfId="67" applyFont="1" applyBorder="1" applyAlignment="1">
      <alignment horizontal="center" wrapText="1"/>
      <protection/>
    </xf>
    <xf numFmtId="0" fontId="4" fillId="0" borderId="11" xfId="34" applyFont="1" applyFill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0" fontId="4" fillId="0" borderId="11" xfId="34" applyFont="1" applyFill="1" applyBorder="1" applyAlignment="1">
      <alignment horizontal="center" vertical="center"/>
      <protection/>
    </xf>
    <xf numFmtId="2" fontId="4" fillId="0" borderId="18" xfId="36" applyNumberFormat="1" applyFont="1" applyFill="1" applyBorder="1" applyAlignment="1">
      <alignment horizontal="right" vertical="center"/>
      <protection/>
    </xf>
    <xf numFmtId="2" fontId="4" fillId="0" borderId="19" xfId="36" applyNumberFormat="1" applyFont="1" applyFill="1" applyBorder="1" applyAlignment="1">
      <alignment horizontal="right" vertical="center"/>
      <protection/>
    </xf>
    <xf numFmtId="2" fontId="11" fillId="9" borderId="12" xfId="36" applyNumberFormat="1" applyFont="1" applyFill="1" applyBorder="1" applyAlignment="1">
      <alignment vertical="center"/>
      <protection/>
    </xf>
    <xf numFmtId="2" fontId="4" fillId="0" borderId="11" xfId="34" applyNumberFormat="1" applyFont="1" applyFill="1" applyBorder="1" applyAlignment="1">
      <alignment horizontal="right" vertical="center"/>
      <protection/>
    </xf>
    <xf numFmtId="2" fontId="4" fillId="2" borderId="11" xfId="34" applyNumberFormat="1" applyFont="1" applyFill="1" applyBorder="1" applyAlignment="1">
      <alignment horizontal="right" vertical="center"/>
      <protection/>
    </xf>
    <xf numFmtId="2" fontId="8" fillId="17" borderId="11" xfId="36" applyNumberFormat="1" applyFont="1" applyFill="1" applyBorder="1" applyAlignment="1">
      <alignment horizontal="right" vertical="center"/>
      <protection/>
    </xf>
    <xf numFmtId="2" fontId="8" fillId="0" borderId="11" xfId="36" applyNumberFormat="1" applyFont="1" applyFill="1" applyBorder="1" applyAlignment="1">
      <alignment horizontal="right" vertical="center"/>
      <protection/>
    </xf>
    <xf numFmtId="2" fontId="8" fillId="17" borderId="26" xfId="36" applyNumberFormat="1" applyFont="1" applyFill="1" applyBorder="1" applyAlignment="1">
      <alignment horizontal="right" vertical="center"/>
      <protection/>
    </xf>
    <xf numFmtId="2" fontId="8" fillId="17" borderId="71" xfId="36" applyNumberFormat="1" applyFont="1" applyFill="1" applyBorder="1" applyAlignment="1">
      <alignment horizontal="right" vertical="center"/>
      <protection/>
    </xf>
    <xf numFmtId="2" fontId="4" fillId="9" borderId="45" xfId="36" applyNumberFormat="1" applyFont="1" applyFill="1" applyBorder="1" applyAlignment="1">
      <alignment vertical="center"/>
      <protection/>
    </xf>
    <xf numFmtId="2" fontId="4" fillId="0" borderId="24" xfId="36" applyNumberFormat="1" applyFont="1" applyFill="1" applyBorder="1" applyAlignment="1">
      <alignment horizontal="right" vertical="center"/>
      <protection/>
    </xf>
    <xf numFmtId="2" fontId="4" fillId="0" borderId="62" xfId="36" applyNumberFormat="1" applyFont="1" applyFill="1" applyBorder="1" applyAlignment="1">
      <alignment horizontal="right" vertical="center"/>
      <protection/>
    </xf>
    <xf numFmtId="2" fontId="4" fillId="0" borderId="36" xfId="36" applyNumberFormat="1" applyFont="1" applyFill="1" applyBorder="1" applyAlignment="1">
      <alignment horizontal="right" vertical="center"/>
      <protection/>
    </xf>
    <xf numFmtId="2" fontId="4" fillId="0" borderId="15" xfId="36" applyNumberFormat="1" applyFont="1" applyFill="1" applyBorder="1" applyAlignment="1">
      <alignment horizontal="right" vertical="center"/>
      <protection/>
    </xf>
    <xf numFmtId="2" fontId="8" fillId="17" borderId="72" xfId="36" applyNumberFormat="1" applyFont="1" applyFill="1" applyBorder="1" applyAlignment="1">
      <alignment horizontal="right" vertical="center"/>
      <protection/>
    </xf>
    <xf numFmtId="0" fontId="4" fillId="2" borderId="25" xfId="34" applyFont="1" applyFill="1" applyBorder="1" applyAlignment="1">
      <alignment horizontal="left" vertical="center" wrapText="1"/>
      <protection/>
    </xf>
    <xf numFmtId="2" fontId="4" fillId="0" borderId="62" xfId="36" applyNumberFormat="1" applyFont="1" applyFill="1" applyBorder="1" applyAlignment="1">
      <alignment horizontal="right" vertical="center" wrapText="1"/>
      <protection/>
    </xf>
    <xf numFmtId="2" fontId="4" fillId="0" borderId="20" xfId="36" applyNumberFormat="1" applyFont="1" applyFill="1" applyBorder="1" applyAlignment="1" applyProtection="1">
      <alignment horizontal="right" vertical="center"/>
      <protection/>
    </xf>
    <xf numFmtId="2" fontId="4" fillId="2" borderId="20" xfId="36" applyNumberFormat="1" applyFont="1" applyFill="1" applyBorder="1" applyAlignment="1" applyProtection="1">
      <alignment horizontal="right" vertical="center"/>
      <protection/>
    </xf>
    <xf numFmtId="2" fontId="8" fillId="21" borderId="48" xfId="36" applyNumberFormat="1" applyFont="1" applyFill="1" applyBorder="1" applyAlignment="1">
      <alignment horizontal="right" vertical="center"/>
      <protection/>
    </xf>
    <xf numFmtId="2" fontId="4" fillId="0" borderId="52" xfId="36" applyNumberFormat="1" applyFont="1" applyFill="1" applyBorder="1" applyAlignment="1" applyProtection="1">
      <alignment horizontal="right" vertical="center"/>
      <protection/>
    </xf>
    <xf numFmtId="2" fontId="4" fillId="0" borderId="36" xfId="36" applyNumberFormat="1" applyFont="1" applyFill="1" applyBorder="1" applyAlignment="1" applyProtection="1">
      <alignment horizontal="right" vertical="center"/>
      <protection/>
    </xf>
    <xf numFmtId="2" fontId="4" fillId="0" borderId="48" xfId="36" applyNumberFormat="1" applyFont="1" applyFill="1" applyBorder="1" applyAlignment="1">
      <alignment horizontal="right" vertical="center"/>
      <protection/>
    </xf>
    <xf numFmtId="2" fontId="4" fillId="0" borderId="47" xfId="36" applyNumberFormat="1" applyFont="1" applyFill="1" applyBorder="1" applyAlignment="1">
      <alignment horizontal="right" vertical="center"/>
      <protection/>
    </xf>
    <xf numFmtId="2" fontId="8" fillId="21" borderId="73" xfId="36" applyNumberFormat="1" applyFont="1" applyFill="1" applyBorder="1" applyAlignment="1">
      <alignment horizontal="right" vertical="center"/>
      <protection/>
    </xf>
    <xf numFmtId="2" fontId="4" fillId="2" borderId="27" xfId="36" applyNumberFormat="1" applyFont="1" applyFill="1" applyBorder="1" applyAlignment="1" applyProtection="1">
      <alignment horizontal="right" vertical="center"/>
      <protection/>
    </xf>
    <xf numFmtId="2" fontId="4" fillId="2" borderId="33" xfId="36" applyNumberFormat="1" applyFont="1" applyFill="1" applyBorder="1" applyAlignment="1">
      <alignment horizontal="right" vertical="center"/>
      <protection/>
    </xf>
    <xf numFmtId="0" fontId="4" fillId="0" borderId="14" xfId="34" applyFont="1" applyFill="1" applyBorder="1" applyAlignment="1">
      <alignment horizontal="left" vertical="center" wrapText="1"/>
      <protection/>
    </xf>
    <xf numFmtId="2" fontId="11" fillId="9" borderId="44" xfId="36" applyNumberFormat="1" applyFont="1" applyFill="1" applyBorder="1" applyAlignment="1">
      <alignment/>
      <protection/>
    </xf>
    <xf numFmtId="2" fontId="4" fillId="2" borderId="47" xfId="36" applyNumberFormat="1" applyFont="1" applyFill="1" applyBorder="1" applyAlignment="1">
      <alignment horizontal="right" vertical="center"/>
      <protection/>
    </xf>
    <xf numFmtId="2" fontId="4" fillId="0" borderId="17" xfId="36" applyNumberFormat="1" applyFont="1" applyFill="1" applyBorder="1" applyAlignment="1">
      <alignment horizontal="right" vertical="center"/>
      <protection/>
    </xf>
    <xf numFmtId="0" fontId="4" fillId="0" borderId="14" xfId="36" applyFont="1" applyFill="1" applyBorder="1" applyAlignment="1">
      <alignment horizontal="center" vertical="center"/>
      <protection/>
    </xf>
    <xf numFmtId="2" fontId="4" fillId="0" borderId="63" xfId="36" applyNumberFormat="1" applyFont="1" applyFill="1" applyBorder="1" applyAlignment="1" applyProtection="1">
      <alignment horizontal="right" vertical="center"/>
      <protection/>
    </xf>
    <xf numFmtId="2" fontId="4" fillId="0" borderId="74" xfId="36" applyNumberFormat="1" applyFont="1" applyFill="1" applyBorder="1" applyAlignment="1">
      <alignment horizontal="right" vertical="center"/>
      <protection/>
    </xf>
    <xf numFmtId="4" fontId="51" fillId="2" borderId="37" xfId="59" applyNumberFormat="1" applyFont="1" applyFill="1" applyBorder="1" applyAlignment="1" applyProtection="1">
      <alignment horizontal="center" vertical="center"/>
      <protection locked="0"/>
    </xf>
    <xf numFmtId="49" fontId="51" fillId="0" borderId="10" xfId="59" applyNumberFormat="1" applyFont="1" applyFill="1" applyBorder="1" applyAlignment="1" applyProtection="1">
      <alignment horizontal="right" vertical="center" wrapText="1"/>
      <protection/>
    </xf>
    <xf numFmtId="0" fontId="51" fillId="0" borderId="10" xfId="34" applyFont="1" applyFill="1" applyBorder="1" applyAlignment="1">
      <alignment horizontal="left" vertical="center" wrapText="1"/>
      <protection/>
    </xf>
    <xf numFmtId="49" fontId="19" fillId="0" borderId="10" xfId="59" applyNumberFormat="1" applyFont="1" applyBorder="1" applyAlignment="1" applyProtection="1">
      <alignment horizontal="right"/>
      <protection/>
    </xf>
    <xf numFmtId="0" fontId="19" fillId="0" borderId="10" xfId="59" applyFont="1" applyBorder="1" applyProtection="1">
      <alignment/>
      <protection/>
    </xf>
    <xf numFmtId="0" fontId="20" fillId="0" borderId="10" xfId="59" applyFont="1" applyFill="1" applyBorder="1" applyAlignment="1" applyProtection="1">
      <alignment wrapText="1"/>
      <protection/>
    </xf>
    <xf numFmtId="49" fontId="19" fillId="0" borderId="10" xfId="59" applyNumberFormat="1" applyFont="1" applyBorder="1" applyAlignment="1" applyProtection="1">
      <alignment/>
      <protection/>
    </xf>
    <xf numFmtId="0" fontId="51" fillId="0" borderId="10" xfId="59" applyFont="1" applyBorder="1" applyProtection="1">
      <alignment/>
      <protection/>
    </xf>
    <xf numFmtId="2" fontId="19" fillId="0" borderId="10" xfId="59" applyNumberFormat="1" applyFont="1" applyBorder="1" applyAlignment="1" applyProtection="1">
      <alignment/>
      <protection/>
    </xf>
    <xf numFmtId="0" fontId="19" fillId="0" borderId="10" xfId="34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4" fillId="0" borderId="65" xfId="36" applyFont="1" applyFill="1" applyBorder="1" applyAlignment="1">
      <alignment horizontal="center" vertical="center" wrapText="1"/>
      <protection/>
    </xf>
    <xf numFmtId="0" fontId="4" fillId="0" borderId="65" xfId="36" applyFont="1" applyFill="1" applyBorder="1" applyAlignment="1">
      <alignment horizontal="center" vertical="center"/>
      <protection/>
    </xf>
    <xf numFmtId="0" fontId="4" fillId="20" borderId="65" xfId="36" applyFont="1" applyFill="1" applyBorder="1" applyAlignment="1">
      <alignment horizontal="center" vertical="center" wrapText="1"/>
      <protection/>
    </xf>
    <xf numFmtId="0" fontId="4" fillId="0" borderId="65" xfId="36" applyFont="1" applyBorder="1" applyAlignment="1">
      <alignment horizontal="center" vertical="center" wrapText="1"/>
      <protection/>
    </xf>
    <xf numFmtId="0" fontId="4" fillId="2" borderId="65" xfId="36" applyFont="1" applyFill="1" applyBorder="1" applyAlignment="1">
      <alignment horizontal="center" vertical="center" wrapText="1"/>
      <protection/>
    </xf>
    <xf numFmtId="0" fontId="11" fillId="9" borderId="65" xfId="36" applyFont="1" applyFill="1" applyBorder="1" applyAlignment="1">
      <alignment horizontal="center" vertical="center" wrapText="1"/>
      <protection/>
    </xf>
    <xf numFmtId="0" fontId="11" fillId="9" borderId="65" xfId="36" applyFont="1" applyFill="1" applyBorder="1" applyAlignment="1">
      <alignment horizontal="center" wrapText="1"/>
      <protection/>
    </xf>
    <xf numFmtId="2" fontId="4" fillId="0" borderId="65" xfId="36" applyNumberFormat="1" applyFont="1" applyFill="1" applyBorder="1" applyAlignment="1" applyProtection="1">
      <alignment horizontal="center" vertical="center" wrapText="1"/>
      <protection/>
    </xf>
    <xf numFmtId="0" fontId="0" fillId="0" borderId="35" xfId="36" applyFont="1" applyBorder="1" applyAlignment="1">
      <alignment horizontal="center" vertical="center" wrapText="1"/>
      <protection/>
    </xf>
    <xf numFmtId="0" fontId="0" fillId="9" borderId="57" xfId="36" applyFont="1" applyFill="1" applyBorder="1" applyAlignment="1">
      <alignment horizontal="center" vertical="center" wrapText="1"/>
      <protection/>
    </xf>
    <xf numFmtId="0" fontId="4" fillId="0" borderId="22" xfId="36" applyFont="1" applyFill="1" applyBorder="1" applyAlignment="1">
      <alignment horizontal="center" vertical="center" textRotation="90"/>
      <protection/>
    </xf>
    <xf numFmtId="0" fontId="4" fillId="2" borderId="22" xfId="36" applyFont="1" applyFill="1" applyBorder="1" applyAlignment="1">
      <alignment horizontal="center" vertical="center" textRotation="90"/>
      <protection/>
    </xf>
    <xf numFmtId="0" fontId="4" fillId="20" borderId="22" xfId="36" applyFont="1" applyFill="1" applyBorder="1" applyAlignment="1">
      <alignment horizontal="center" vertical="center" textRotation="90"/>
      <protection/>
    </xf>
    <xf numFmtId="0" fontId="4" fillId="0" borderId="22" xfId="36" applyFont="1" applyBorder="1" applyAlignment="1">
      <alignment horizontal="center" vertical="center" textRotation="90"/>
      <protection/>
    </xf>
    <xf numFmtId="0" fontId="11" fillId="9" borderId="22" xfId="36" applyFont="1" applyFill="1" applyBorder="1" applyAlignment="1">
      <alignment vertical="center"/>
      <protection/>
    </xf>
    <xf numFmtId="2" fontId="8" fillId="2" borderId="22" xfId="36" applyNumberFormat="1" applyFont="1" applyFill="1" applyBorder="1" applyAlignment="1">
      <alignment horizontal="right" vertical="center"/>
      <protection/>
    </xf>
    <xf numFmtId="0" fontId="4" fillId="0" borderId="22" xfId="36" applyFont="1" applyFill="1" applyBorder="1" applyAlignment="1">
      <alignment horizontal="center" vertical="center" textRotation="90" wrapText="1"/>
      <protection/>
    </xf>
    <xf numFmtId="2" fontId="4" fillId="0" borderId="22" xfId="36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2" xfId="36" applyFont="1" applyFill="1" applyBorder="1" applyAlignment="1">
      <alignment horizontal="center" vertical="center" wrapText="1"/>
      <protection/>
    </xf>
    <xf numFmtId="0" fontId="4" fillId="0" borderId="27" xfId="36" applyFont="1" applyFill="1" applyBorder="1" applyAlignment="1">
      <alignment horizontal="center" vertical="center" wrapText="1"/>
      <protection/>
    </xf>
    <xf numFmtId="0" fontId="4" fillId="0" borderId="75" xfId="36" applyFont="1" applyFill="1" applyBorder="1" applyAlignment="1">
      <alignment horizontal="center" vertical="center" wrapText="1"/>
      <protection/>
    </xf>
    <xf numFmtId="0" fontId="4" fillId="0" borderId="50" xfId="36" applyFont="1" applyFill="1" applyBorder="1" applyAlignment="1">
      <alignment horizontal="center" vertical="center"/>
      <protection/>
    </xf>
    <xf numFmtId="0" fontId="0" fillId="0" borderId="47" xfId="36" applyFont="1" applyBorder="1" applyAlignment="1">
      <alignment horizontal="center" vertical="center" wrapText="1"/>
      <protection/>
    </xf>
    <xf numFmtId="0" fontId="23" fillId="0" borderId="10" xfId="35" applyFont="1" applyBorder="1" applyAlignment="1">
      <alignment horizontal="center" wrapText="1"/>
      <protection/>
    </xf>
    <xf numFmtId="4" fontId="23" fillId="0" borderId="10" xfId="35" applyNumberFormat="1" applyFont="1" applyBorder="1" applyAlignment="1">
      <alignment horizontal="center" wrapText="1"/>
      <protection/>
    </xf>
    <xf numFmtId="0" fontId="23" fillId="0" borderId="10" xfId="35" applyFont="1" applyBorder="1" applyAlignment="1">
      <alignment horizontal="center" vertical="center" wrapText="1"/>
      <protection/>
    </xf>
    <xf numFmtId="4" fontId="23" fillId="0" borderId="10" xfId="35" applyNumberFormat="1" applyFont="1" applyBorder="1" applyAlignment="1">
      <alignment horizontal="center" vertical="center" wrapText="1"/>
      <protection/>
    </xf>
    <xf numFmtId="2" fontId="23" fillId="0" borderId="10" xfId="35" applyNumberFormat="1" applyFont="1" applyBorder="1" applyAlignment="1">
      <alignment horizontal="center" vertical="center" wrapText="1"/>
      <protection/>
    </xf>
    <xf numFmtId="0" fontId="23" fillId="0" borderId="10" xfId="35" applyFont="1" applyBorder="1" applyAlignment="1">
      <alignment horizontal="center"/>
      <protection/>
    </xf>
    <xf numFmtId="4" fontId="23" fillId="0" borderId="10" xfId="35" applyNumberFormat="1" applyFont="1" applyBorder="1" applyAlignment="1">
      <alignment horizontal="center"/>
      <protection/>
    </xf>
    <xf numFmtId="2" fontId="23" fillId="0" borderId="10" xfId="35" applyNumberFormat="1" applyFont="1" applyBorder="1" applyAlignment="1">
      <alignment horizontal="center"/>
      <protection/>
    </xf>
    <xf numFmtId="0" fontId="23" fillId="0" borderId="11" xfId="35" applyFont="1" applyBorder="1" applyAlignment="1">
      <alignment horizontal="center" wrapText="1"/>
      <protection/>
    </xf>
    <xf numFmtId="0" fontId="23" fillId="0" borderId="11" xfId="35" applyFont="1" applyBorder="1" applyAlignment="1">
      <alignment horizontal="center"/>
      <protection/>
    </xf>
    <xf numFmtId="0" fontId="18" fillId="0" borderId="10" xfId="35" applyFont="1" applyBorder="1" applyAlignment="1">
      <alignment horizontal="center" wrapText="1"/>
      <protection/>
    </xf>
    <xf numFmtId="0" fontId="23" fillId="0" borderId="37" xfId="35" applyFont="1" applyBorder="1" applyAlignment="1">
      <alignment horizontal="center"/>
      <protection/>
    </xf>
    <xf numFmtId="4" fontId="18" fillId="0" borderId="10" xfId="35" applyNumberFormat="1" applyFont="1" applyBorder="1" applyAlignment="1">
      <alignment horizontal="center"/>
      <protection/>
    </xf>
    <xf numFmtId="0" fontId="4" fillId="0" borderId="25" xfId="36" applyFont="1" applyFill="1" applyBorder="1" applyAlignment="1">
      <alignment vertical="center"/>
      <protection/>
    </xf>
    <xf numFmtId="2" fontId="9" fillId="21" borderId="11" xfId="36" applyNumberFormat="1" applyFont="1" applyFill="1" applyBorder="1" applyAlignment="1">
      <alignment horizontal="right" vertical="center"/>
      <protection/>
    </xf>
    <xf numFmtId="2" fontId="8" fillId="21" borderId="21" xfId="36" applyNumberFormat="1" applyFont="1" applyFill="1" applyBorder="1" applyAlignment="1">
      <alignment horizontal="right" vertical="center"/>
      <protection/>
    </xf>
    <xf numFmtId="0" fontId="43" fillId="0" borderId="10" xfId="59" applyFont="1" applyFill="1" applyBorder="1" applyAlignment="1">
      <alignment horizontal="left" wrapText="1"/>
      <protection/>
    </xf>
    <xf numFmtId="0" fontId="43" fillId="0" borderId="10" xfId="37" applyFont="1" applyBorder="1" applyAlignment="1">
      <alignment horizontal="left" wrapText="1"/>
      <protection/>
    </xf>
    <xf numFmtId="0" fontId="43" fillId="0" borderId="10" xfId="37" applyFont="1" applyBorder="1" applyAlignment="1">
      <alignment horizontal="center" wrapText="1"/>
      <protection/>
    </xf>
    <xf numFmtId="0" fontId="43" fillId="0" borderId="10" xfId="37" applyFont="1" applyBorder="1" applyAlignment="1">
      <alignment horizontal="left"/>
      <protection/>
    </xf>
    <xf numFmtId="0" fontId="43" fillId="0" borderId="10" xfId="37" applyFont="1" applyBorder="1" applyAlignment="1">
      <alignment horizontal="center"/>
      <protection/>
    </xf>
    <xf numFmtId="2" fontId="43" fillId="0" borderId="10" xfId="37" applyNumberFormat="1" applyFont="1" applyBorder="1" applyAlignment="1">
      <alignment horizontal="center"/>
      <protection/>
    </xf>
    <xf numFmtId="0" fontId="43" fillId="0" borderId="11" xfId="37" applyFont="1" applyBorder="1" applyAlignment="1">
      <alignment horizontal="left" wrapText="1"/>
      <protection/>
    </xf>
    <xf numFmtId="0" fontId="43" fillId="0" borderId="11" xfId="37" applyFont="1" applyBorder="1" applyAlignment="1">
      <alignment horizontal="left"/>
      <protection/>
    </xf>
    <xf numFmtId="184" fontId="4" fillId="0" borderId="0" xfId="37" applyNumberFormat="1" applyFont="1" applyFill="1" applyBorder="1" applyAlignment="1">
      <alignment horizontal="center" vertical="center"/>
      <protection/>
    </xf>
    <xf numFmtId="0" fontId="4" fillId="0" borderId="0" xfId="37" applyFont="1" applyAlignment="1">
      <alignment horizontal="center" vertical="center" wrapText="1"/>
      <protection/>
    </xf>
    <xf numFmtId="2" fontId="43" fillId="0" borderId="10" xfId="59" applyNumberFormat="1" applyFont="1" applyBorder="1" applyAlignment="1">
      <alignment horizontal="center" wrapText="1"/>
      <protection/>
    </xf>
    <xf numFmtId="2" fontId="56" fillId="0" borderId="10" xfId="59" applyNumberFormat="1" applyFont="1" applyBorder="1" applyAlignment="1">
      <alignment horizontal="center" wrapText="1"/>
      <protection/>
    </xf>
    <xf numFmtId="2" fontId="43" fillId="0" borderId="10" xfId="59" applyNumberFormat="1" applyFont="1" applyFill="1" applyBorder="1" applyAlignment="1">
      <alignment horizontal="center" wrapText="1"/>
      <protection/>
    </xf>
    <xf numFmtId="2" fontId="43" fillId="0" borderId="10" xfId="37" applyNumberFormat="1" applyFont="1" applyBorder="1" applyAlignment="1">
      <alignment horizontal="center" wrapText="1"/>
      <protection/>
    </xf>
    <xf numFmtId="2" fontId="43" fillId="0" borderId="23" xfId="59" applyNumberFormat="1" applyFont="1" applyFill="1" applyBorder="1" applyAlignment="1">
      <alignment horizontal="center" vertical="center" wrapText="1"/>
      <protection/>
    </xf>
    <xf numFmtId="2" fontId="43" fillId="0" borderId="23" xfId="59" applyNumberFormat="1" applyFont="1" applyBorder="1">
      <alignment/>
      <protection/>
    </xf>
    <xf numFmtId="2" fontId="43" fillId="0" borderId="10" xfId="59" applyNumberFormat="1" applyFont="1" applyBorder="1">
      <alignment/>
      <protection/>
    </xf>
    <xf numFmtId="2" fontId="4" fillId="2" borderId="16" xfId="36" applyNumberFormat="1" applyFont="1" applyFill="1" applyBorder="1" applyAlignment="1">
      <alignment horizontal="right" vertical="center"/>
      <protection/>
    </xf>
    <xf numFmtId="2" fontId="4" fillId="2" borderId="35" xfId="36" applyNumberFormat="1" applyFont="1" applyFill="1" applyBorder="1" applyAlignment="1">
      <alignment horizontal="right" vertical="center"/>
      <protection/>
    </xf>
    <xf numFmtId="2" fontId="4" fillId="2" borderId="11" xfId="34" applyNumberFormat="1" applyFont="1" applyFill="1" applyBorder="1" applyAlignment="1">
      <alignment horizontal="right" vertical="center"/>
      <protection/>
    </xf>
    <xf numFmtId="2" fontId="19" fillId="2" borderId="16" xfId="36" applyNumberFormat="1" applyFont="1" applyFill="1" applyBorder="1" applyAlignment="1">
      <alignment horizontal="right" vertical="center"/>
      <protection/>
    </xf>
    <xf numFmtId="0" fontId="4" fillId="2" borderId="65" xfId="36" applyFont="1" applyFill="1" applyBorder="1" applyAlignment="1">
      <alignment horizontal="center" vertical="center" wrapText="1"/>
      <protection/>
    </xf>
    <xf numFmtId="2" fontId="8" fillId="2" borderId="65" xfId="36" applyNumberFormat="1" applyFont="1" applyFill="1" applyBorder="1" applyAlignment="1">
      <alignment horizontal="center" vertical="center" wrapText="1"/>
      <protection/>
    </xf>
    <xf numFmtId="0" fontId="4" fillId="2" borderId="67" xfId="36" applyFont="1" applyFill="1" applyBorder="1" applyAlignment="1">
      <alignment horizontal="center" vertical="center" wrapText="1"/>
      <protection/>
    </xf>
    <xf numFmtId="0" fontId="16" fillId="9" borderId="11" xfId="34" applyFont="1" applyFill="1" applyBorder="1" applyAlignment="1" applyProtection="1">
      <alignment horizontal="center" vertical="center" wrapText="1"/>
      <protection/>
    </xf>
    <xf numFmtId="0" fontId="16" fillId="9" borderId="24" xfId="34" applyFont="1" applyFill="1" applyBorder="1" applyAlignment="1" applyProtection="1">
      <alignment horizontal="center" vertical="center" wrapText="1"/>
      <protection/>
    </xf>
    <xf numFmtId="0" fontId="16" fillId="9" borderId="23" xfId="34" applyFont="1" applyFill="1" applyBorder="1" applyAlignment="1" applyProtection="1">
      <alignment horizontal="center" vertical="center" wrapText="1"/>
      <protection/>
    </xf>
    <xf numFmtId="0" fontId="4" fillId="0" borderId="10" xfId="34" applyFont="1" applyBorder="1" applyAlignment="1" applyProtection="1">
      <alignment horizontal="center" vertical="center" wrapText="1"/>
      <protection/>
    </xf>
    <xf numFmtId="0" fontId="4" fillId="0" borderId="26" xfId="34" applyFont="1" applyBorder="1" applyAlignment="1" applyProtection="1">
      <alignment horizontal="center" vertical="center" wrapText="1"/>
      <protection/>
    </xf>
    <xf numFmtId="0" fontId="4" fillId="0" borderId="34" xfId="34" applyFont="1" applyBorder="1" applyAlignment="1" applyProtection="1">
      <alignment horizontal="center" vertical="center" wrapText="1"/>
      <protection/>
    </xf>
    <xf numFmtId="0" fontId="4" fillId="0" borderId="62" xfId="34" applyFont="1" applyBorder="1" applyAlignment="1" applyProtection="1">
      <alignment horizontal="center" vertical="center" wrapText="1"/>
      <protection/>
    </xf>
    <xf numFmtId="0" fontId="4" fillId="0" borderId="32" xfId="34" applyFont="1" applyBorder="1" applyAlignment="1" applyProtection="1">
      <alignment horizontal="center" vertical="center" wrapText="1"/>
      <protection/>
    </xf>
    <xf numFmtId="0" fontId="4" fillId="0" borderId="18" xfId="34" applyFont="1" applyBorder="1" applyAlignment="1" applyProtection="1">
      <alignment horizontal="center"/>
      <protection/>
    </xf>
    <xf numFmtId="0" fontId="23" fillId="0" borderId="76" xfId="34" applyFont="1" applyBorder="1" applyAlignment="1" applyProtection="1">
      <alignment horizontal="center" vertical="center"/>
      <protection/>
    </xf>
    <xf numFmtId="0" fontId="23" fillId="0" borderId="37" xfId="34" applyFont="1" applyBorder="1" applyAlignment="1" applyProtection="1">
      <alignment horizontal="center" vertical="center"/>
      <protection/>
    </xf>
    <xf numFmtId="0" fontId="4" fillId="0" borderId="23" xfId="34" applyNumberFormat="1" applyFont="1" applyBorder="1" applyAlignment="1" applyProtection="1">
      <alignment vertical="center"/>
      <protection/>
    </xf>
    <xf numFmtId="0" fontId="4" fillId="0" borderId="36" xfId="34" applyFont="1" applyBorder="1" applyAlignment="1" applyProtection="1">
      <alignment horizontal="center"/>
      <protection/>
    </xf>
    <xf numFmtId="0" fontId="4" fillId="0" borderId="14" xfId="34" applyFont="1" applyBorder="1" applyAlignment="1" applyProtection="1">
      <alignment horizontal="center"/>
      <protection/>
    </xf>
    <xf numFmtId="0" fontId="4" fillId="0" borderId="22" xfId="34" applyFont="1" applyBorder="1" applyAlignment="1" applyProtection="1">
      <alignment horizontal="center"/>
      <protection/>
    </xf>
    <xf numFmtId="9" fontId="4" fillId="0" borderId="33" xfId="34" applyNumberFormat="1" applyFont="1" applyFill="1" applyBorder="1" applyAlignment="1" applyProtection="1">
      <alignment horizontal="center" vertical="center" wrapText="1"/>
      <protection/>
    </xf>
    <xf numFmtId="0" fontId="4" fillId="0" borderId="10" xfId="34" applyFont="1" applyBorder="1" applyAlignment="1" applyProtection="1">
      <alignment horizontal="center"/>
      <protection/>
    </xf>
    <xf numFmtId="0" fontId="23" fillId="0" borderId="0" xfId="58" applyFont="1" applyAlignment="1" applyProtection="1">
      <alignment horizontal="left"/>
      <protection hidden="1"/>
    </xf>
    <xf numFmtId="0" fontId="4" fillId="0" borderId="12" xfId="34" applyFont="1" applyBorder="1" applyAlignment="1" applyProtection="1">
      <alignment horizontal="center"/>
      <protection/>
    </xf>
    <xf numFmtId="0" fontId="4" fillId="0" borderId="0" xfId="34" applyFont="1" applyBorder="1" applyAlignment="1" applyProtection="1">
      <alignment horizontal="center"/>
      <protection/>
    </xf>
    <xf numFmtId="0" fontId="4" fillId="0" borderId="55" xfId="34" applyFont="1" applyBorder="1" applyAlignment="1" applyProtection="1">
      <alignment horizontal="center"/>
      <protection/>
    </xf>
    <xf numFmtId="0" fontId="4" fillId="0" borderId="77" xfId="34" applyFont="1" applyBorder="1" applyAlignment="1" applyProtection="1">
      <alignment horizontal="center"/>
      <protection/>
    </xf>
    <xf numFmtId="0" fontId="4" fillId="0" borderId="78" xfId="34" applyFont="1" applyBorder="1" applyAlignment="1" applyProtection="1">
      <alignment horizontal="center"/>
      <protection/>
    </xf>
    <xf numFmtId="0" fontId="0" fillId="0" borderId="79" xfId="34" applyFont="1" applyBorder="1" applyAlignment="1" applyProtection="1">
      <alignment horizontal="center"/>
      <protection/>
    </xf>
    <xf numFmtId="0" fontId="4" fillId="0" borderId="80" xfId="34" applyFont="1" applyBorder="1" applyAlignment="1" applyProtection="1">
      <alignment horizontal="center"/>
      <protection/>
    </xf>
    <xf numFmtId="0" fontId="4" fillId="0" borderId="68" xfId="34" applyFont="1" applyBorder="1" applyAlignment="1" applyProtection="1">
      <alignment horizontal="center"/>
      <protection/>
    </xf>
    <xf numFmtId="0" fontId="4" fillId="0" borderId="81" xfId="34" applyFont="1" applyBorder="1" applyAlignment="1" applyProtection="1">
      <alignment horizontal="center"/>
      <protection/>
    </xf>
    <xf numFmtId="9" fontId="4" fillId="0" borderId="35" xfId="34" applyNumberFormat="1" applyFont="1" applyFill="1" applyBorder="1" applyAlignment="1" applyProtection="1">
      <alignment horizontal="center" vertical="center" wrapText="1"/>
      <protection/>
    </xf>
    <xf numFmtId="9" fontId="4" fillId="0" borderId="40" xfId="34" applyNumberFormat="1" applyFont="1" applyFill="1" applyBorder="1" applyAlignment="1" applyProtection="1">
      <alignment horizontal="center" vertical="center" wrapText="1"/>
      <protection/>
    </xf>
    <xf numFmtId="9" fontId="4" fillId="0" borderId="11" xfId="34" applyNumberFormat="1" applyFont="1" applyBorder="1" applyAlignment="1" applyProtection="1">
      <alignment horizontal="right"/>
      <protection/>
    </xf>
    <xf numFmtId="0" fontId="4" fillId="0" borderId="44" xfId="34" applyFont="1" applyBorder="1" applyAlignment="1" applyProtection="1">
      <alignment horizontal="center"/>
      <protection/>
    </xf>
    <xf numFmtId="0" fontId="4" fillId="0" borderId="19" xfId="34" applyFont="1" applyBorder="1" applyAlignment="1" applyProtection="1">
      <alignment horizontal="center"/>
      <protection/>
    </xf>
    <xf numFmtId="187" fontId="0" fillId="0" borderId="10" xfId="34" applyNumberFormat="1" applyFont="1" applyBorder="1" applyAlignment="1" applyProtection="1">
      <alignment horizontal="center"/>
      <protection/>
    </xf>
    <xf numFmtId="9" fontId="4" fillId="0" borderId="16" xfId="34" applyNumberFormat="1" applyFont="1" applyBorder="1" applyAlignment="1" applyProtection="1">
      <alignment horizontal="center"/>
      <protection/>
    </xf>
    <xf numFmtId="2" fontId="4" fillId="0" borderId="65" xfId="34" applyNumberFormat="1" applyFont="1" applyBorder="1" applyAlignment="1" applyProtection="1">
      <alignment horizontal="center"/>
      <protection/>
    </xf>
    <xf numFmtId="0" fontId="0" fillId="0" borderId="10" xfId="34" applyFont="1" applyBorder="1" applyAlignment="1" applyProtection="1">
      <alignment horizontal="center"/>
      <protection/>
    </xf>
    <xf numFmtId="0" fontId="0" fillId="0" borderId="16" xfId="34" applyFont="1" applyBorder="1" applyAlignment="1" applyProtection="1">
      <alignment horizontal="center"/>
      <protection/>
    </xf>
    <xf numFmtId="0" fontId="0" fillId="0" borderId="74" xfId="34" applyFont="1" applyBorder="1" applyAlignment="1" applyProtection="1">
      <alignment horizontal="center"/>
      <protection/>
    </xf>
    <xf numFmtId="10" fontId="0" fillId="0" borderId="19" xfId="34" applyNumberFormat="1" applyFont="1" applyBorder="1" applyAlignment="1" applyProtection="1">
      <alignment horizontal="center"/>
      <protection/>
    </xf>
    <xf numFmtId="0" fontId="0" fillId="0" borderId="19" xfId="34" applyFont="1" applyBorder="1" applyAlignment="1" applyProtection="1">
      <alignment horizontal="center"/>
      <protection/>
    </xf>
    <xf numFmtId="179" fontId="0" fillId="0" borderId="16" xfId="34" applyNumberFormat="1" applyFont="1" applyBorder="1" applyAlignment="1" applyProtection="1">
      <alignment horizontal="right"/>
      <protection/>
    </xf>
    <xf numFmtId="4" fontId="0" fillId="0" borderId="16" xfId="34" applyNumberFormat="1" applyFont="1" applyBorder="1" applyAlignment="1" applyProtection="1">
      <alignment horizontal="center"/>
      <protection/>
    </xf>
    <xf numFmtId="188" fontId="0" fillId="0" borderId="10" xfId="34" applyNumberFormat="1" applyFont="1" applyBorder="1" applyAlignment="1" applyProtection="1">
      <alignment horizontal="center"/>
      <protection/>
    </xf>
    <xf numFmtId="2" fontId="43" fillId="0" borderId="10" xfId="34" applyNumberFormat="1" applyFont="1" applyFill="1" applyBorder="1" applyAlignment="1" applyProtection="1">
      <alignment horizontal="center" vertical="center" wrapText="1"/>
      <protection/>
    </xf>
    <xf numFmtId="0" fontId="16" fillId="9" borderId="62" xfId="34" applyFont="1" applyFill="1" applyBorder="1" applyAlignment="1" applyProtection="1">
      <alignment horizontal="center" vertical="center" wrapText="1"/>
      <protection/>
    </xf>
    <xf numFmtId="0" fontId="16" fillId="9" borderId="0" xfId="34" applyFont="1" applyFill="1" applyBorder="1" applyAlignment="1" applyProtection="1">
      <alignment horizontal="center" vertical="center" wrapText="1"/>
      <protection/>
    </xf>
    <xf numFmtId="0" fontId="23" fillId="0" borderId="79" xfId="34" applyFont="1" applyFill="1" applyBorder="1" applyAlignment="1" applyProtection="1">
      <alignment horizontal="center" vertical="center"/>
      <protection/>
    </xf>
    <xf numFmtId="0" fontId="23" fillId="0" borderId="74" xfId="34" applyFont="1" applyFill="1" applyBorder="1" applyAlignment="1" applyProtection="1">
      <alignment horizontal="center" vertical="center"/>
      <protection/>
    </xf>
    <xf numFmtId="0" fontId="23" fillId="0" borderId="79" xfId="34" applyFont="1" applyFill="1" applyBorder="1" applyAlignment="1" applyProtection="1">
      <alignment horizontal="center" vertical="center" wrapText="1"/>
      <protection locked="0"/>
    </xf>
    <xf numFmtId="0" fontId="23" fillId="0" borderId="10" xfId="34" applyFont="1" applyFill="1" applyBorder="1" applyAlignment="1" applyProtection="1">
      <alignment horizontal="center" vertical="center" wrapText="1"/>
      <protection locked="0"/>
    </xf>
    <xf numFmtId="0" fontId="23" fillId="0" borderId="82" xfId="34" applyFont="1" applyBorder="1" applyAlignment="1" applyProtection="1">
      <alignment horizontal="center" vertical="center"/>
      <protection/>
    </xf>
    <xf numFmtId="0" fontId="23" fillId="0" borderId="57" xfId="34" applyFont="1" applyBorder="1" applyAlignment="1" applyProtection="1">
      <alignment horizontal="center" vertical="center"/>
      <protection/>
    </xf>
    <xf numFmtId="0" fontId="23" fillId="0" borderId="63" xfId="34" applyFont="1" applyBorder="1" applyAlignment="1" applyProtection="1">
      <alignment horizontal="center" vertical="center"/>
      <protection/>
    </xf>
    <xf numFmtId="0" fontId="23" fillId="0" borderId="22" xfId="34" applyFont="1" applyBorder="1" applyAlignment="1" applyProtection="1">
      <alignment horizontal="center" vertical="center"/>
      <protection/>
    </xf>
    <xf numFmtId="0" fontId="23" fillId="0" borderId="10" xfId="34" applyFont="1" applyFill="1" applyBorder="1" applyAlignment="1" applyProtection="1">
      <alignment horizontal="center" vertical="center"/>
      <protection locked="0"/>
    </xf>
    <xf numFmtId="0" fontId="4" fillId="0" borderId="53" xfId="34" applyFont="1" applyBorder="1" applyAlignment="1" applyProtection="1">
      <alignment horizontal="center"/>
      <protection/>
    </xf>
    <xf numFmtId="0" fontId="4" fillId="0" borderId="41" xfId="34" applyFont="1" applyBorder="1" applyAlignment="1" applyProtection="1">
      <alignment horizontal="center" vertical="center" wrapText="1"/>
      <protection/>
    </xf>
    <xf numFmtId="0" fontId="4" fillId="0" borderId="43" xfId="34" applyFont="1" applyBorder="1" applyAlignment="1" applyProtection="1">
      <alignment horizontal="center" vertical="center" wrapText="1"/>
      <protection/>
    </xf>
    <xf numFmtId="2" fontId="4" fillId="0" borderId="10" xfId="34" applyNumberFormat="1" applyFont="1" applyBorder="1" applyAlignment="1" applyProtection="1">
      <alignment horizontal="center" vertical="center" wrapText="1"/>
      <protection locked="0"/>
    </xf>
    <xf numFmtId="0" fontId="4" fillId="0" borderId="25" xfId="34" applyFont="1" applyBorder="1" applyAlignment="1" applyProtection="1">
      <alignment horizontal="center" vertical="center" wrapText="1"/>
      <protection/>
    </xf>
    <xf numFmtId="0" fontId="4" fillId="0" borderId="83" xfId="34" applyFont="1" applyBorder="1" applyAlignment="1" applyProtection="1">
      <alignment horizontal="center" vertical="center" wrapText="1"/>
      <protection/>
    </xf>
    <xf numFmtId="0" fontId="4" fillId="0" borderId="37" xfId="34" applyFont="1" applyBorder="1" applyAlignment="1" applyProtection="1">
      <alignment horizontal="center" vertical="center" wrapText="1"/>
      <protection/>
    </xf>
    <xf numFmtId="1" fontId="4" fillId="0" borderId="10" xfId="34" applyNumberFormat="1" applyFont="1" applyBorder="1" applyAlignment="1" applyProtection="1">
      <alignment horizontal="center" vertical="center" wrapText="1"/>
      <protection locked="0"/>
    </xf>
    <xf numFmtId="0" fontId="4" fillId="0" borderId="10" xfId="34" applyFont="1" applyBorder="1" applyAlignment="1" applyProtection="1">
      <alignment horizontal="center" vertical="center" wrapText="1"/>
      <protection locked="0"/>
    </xf>
    <xf numFmtId="0" fontId="4" fillId="0" borderId="10" xfId="34" applyFont="1" applyFill="1" applyBorder="1" applyAlignment="1" applyProtection="1">
      <alignment horizontal="center" vertical="center" wrapText="1"/>
      <protection/>
    </xf>
    <xf numFmtId="0" fontId="4" fillId="0" borderId="11" xfId="34" applyFont="1" applyBorder="1" applyAlignment="1" applyProtection="1">
      <alignment horizontal="center" vertical="center" wrapText="1"/>
      <protection/>
    </xf>
    <xf numFmtId="0" fontId="4" fillId="0" borderId="23" xfId="34" applyFont="1" applyBorder="1" applyAlignment="1" applyProtection="1">
      <alignment horizontal="center" vertical="center" wrapText="1"/>
      <protection/>
    </xf>
    <xf numFmtId="0" fontId="15" fillId="8" borderId="25" xfId="34" applyFont="1" applyFill="1" applyBorder="1" applyAlignment="1" applyProtection="1">
      <alignment horizontal="left" vertical="center" wrapText="1"/>
      <protection locked="0"/>
    </xf>
    <xf numFmtId="0" fontId="15" fillId="8" borderId="37" xfId="34" applyFont="1" applyFill="1" applyBorder="1" applyAlignment="1" applyProtection="1">
      <alignment horizontal="left" vertical="center" wrapText="1"/>
      <protection locked="0"/>
    </xf>
    <xf numFmtId="0" fontId="4" fillId="0" borderId="25" xfId="34" applyFont="1" applyFill="1" applyBorder="1" applyAlignment="1" applyProtection="1">
      <alignment horizontal="center" vertical="center" wrapText="1"/>
      <protection/>
    </xf>
    <xf numFmtId="0" fontId="4" fillId="0" borderId="83" xfId="34" applyFont="1" applyFill="1" applyBorder="1" applyAlignment="1" applyProtection="1">
      <alignment horizontal="center" vertical="center" wrapText="1"/>
      <protection/>
    </xf>
    <xf numFmtId="0" fontId="4" fillId="0" borderId="37" xfId="34" applyFont="1" applyFill="1" applyBorder="1" applyAlignment="1" applyProtection="1">
      <alignment horizontal="center" vertical="center" wrapText="1"/>
      <protection/>
    </xf>
    <xf numFmtId="0" fontId="4" fillId="0" borderId="11" xfId="34" applyFont="1" applyFill="1" applyBorder="1" applyAlignment="1" applyProtection="1">
      <alignment horizontal="center" vertical="center" wrapText="1"/>
      <protection/>
    </xf>
    <xf numFmtId="0" fontId="4" fillId="0" borderId="23" xfId="34" applyFont="1" applyFill="1" applyBorder="1" applyAlignment="1" applyProtection="1">
      <alignment horizontal="center" vertical="center" wrapText="1"/>
      <protection/>
    </xf>
    <xf numFmtId="0" fontId="4" fillId="0" borderId="26" xfId="34" applyFont="1" applyFill="1" applyBorder="1" applyAlignment="1" applyProtection="1">
      <alignment horizontal="center" vertical="center" wrapText="1"/>
      <protection/>
    </xf>
    <xf numFmtId="0" fontId="4" fillId="0" borderId="34" xfId="34" applyFont="1" applyFill="1" applyBorder="1" applyAlignment="1" applyProtection="1">
      <alignment horizontal="center" vertical="center" wrapText="1"/>
      <protection/>
    </xf>
    <xf numFmtId="0" fontId="4" fillId="9" borderId="11" xfId="34" applyFont="1" applyFill="1" applyBorder="1" applyAlignment="1" applyProtection="1">
      <alignment horizontal="center" vertical="center" wrapText="1"/>
      <protection/>
    </xf>
    <xf numFmtId="0" fontId="4" fillId="9" borderId="23" xfId="34" applyFont="1" applyFill="1" applyBorder="1" applyAlignment="1" applyProtection="1">
      <alignment horizontal="center" vertical="center" wrapText="1"/>
      <protection/>
    </xf>
    <xf numFmtId="0" fontId="4" fillId="0" borderId="11" xfId="34" applyFont="1" applyFill="1" applyBorder="1" applyAlignment="1" applyProtection="1">
      <alignment horizontal="left" vertical="center" wrapText="1"/>
      <protection/>
    </xf>
    <xf numFmtId="0" fontId="4" fillId="0" borderId="23" xfId="34" applyFont="1" applyFill="1" applyBorder="1" applyAlignment="1" applyProtection="1">
      <alignment horizontal="left" vertical="center" wrapText="1"/>
      <protection/>
    </xf>
    <xf numFmtId="0" fontId="53" fillId="2" borderId="10" xfId="59" applyFont="1" applyFill="1" applyBorder="1" applyAlignment="1" applyProtection="1">
      <alignment horizontal="center" vertical="center" wrapText="1"/>
      <protection/>
    </xf>
    <xf numFmtId="0" fontId="53" fillId="2" borderId="10" xfId="59" applyFont="1" applyFill="1" applyBorder="1" applyAlignment="1" applyProtection="1">
      <alignment horizontal="center" vertical="center"/>
      <protection/>
    </xf>
    <xf numFmtId="0" fontId="51" fillId="2" borderId="10" xfId="59" applyFont="1" applyFill="1" applyBorder="1" applyAlignment="1" applyProtection="1">
      <alignment horizontal="center" vertical="center" wrapText="1"/>
      <protection locked="0"/>
    </xf>
    <xf numFmtId="0" fontId="51" fillId="2" borderId="10" xfId="59" applyFont="1" applyFill="1" applyBorder="1" applyAlignment="1" applyProtection="1">
      <alignment horizontal="center" vertical="center"/>
      <protection/>
    </xf>
    <xf numFmtId="0" fontId="51" fillId="2" borderId="10" xfId="59" applyFont="1" applyFill="1" applyBorder="1" applyAlignment="1" applyProtection="1">
      <alignment horizontal="center" vertical="center" wrapText="1"/>
      <protection/>
    </xf>
    <xf numFmtId="49" fontId="52" fillId="2" borderId="11" xfId="34" applyNumberFormat="1" applyFont="1" applyFill="1" applyBorder="1" applyAlignment="1" applyProtection="1">
      <alignment horizontal="center" vertical="center" wrapText="1"/>
      <protection/>
    </xf>
    <xf numFmtId="49" fontId="52" fillId="2" borderId="24" xfId="34" applyNumberFormat="1" applyFont="1" applyFill="1" applyBorder="1" applyAlignment="1" applyProtection="1">
      <alignment horizontal="center" vertical="center" wrapText="1"/>
      <protection/>
    </xf>
    <xf numFmtId="49" fontId="52" fillId="2" borderId="23" xfId="34" applyNumberFormat="1" applyFont="1" applyFill="1" applyBorder="1" applyAlignment="1" applyProtection="1">
      <alignment horizontal="center" vertical="center" wrapText="1"/>
      <protection/>
    </xf>
    <xf numFmtId="0" fontId="0" fillId="0" borderId="10" xfId="34" applyFont="1" applyBorder="1" applyAlignment="1" applyProtection="1">
      <alignment horizontal="center" vertical="center" wrapText="1"/>
      <protection/>
    </xf>
    <xf numFmtId="1" fontId="4" fillId="0" borderId="11" xfId="34" applyNumberFormat="1" applyFont="1" applyBorder="1" applyAlignment="1" applyProtection="1">
      <alignment horizontal="center" vertical="center" wrapText="1"/>
      <protection locked="0"/>
    </xf>
    <xf numFmtId="0" fontId="4" fillId="0" borderId="24" xfId="34" applyFont="1" applyBorder="1" applyAlignment="1" applyProtection="1">
      <alignment horizontal="center" vertical="center" wrapText="1"/>
      <protection locked="0"/>
    </xf>
    <xf numFmtId="0" fontId="4" fillId="0" borderId="23" xfId="34" applyFont="1" applyBorder="1" applyAlignment="1" applyProtection="1">
      <alignment horizontal="center" vertical="center" wrapText="1"/>
      <protection locked="0"/>
    </xf>
    <xf numFmtId="0" fontId="0" fillId="0" borderId="10" xfId="34" applyFont="1" applyFill="1" applyBorder="1" applyAlignment="1" applyProtection="1">
      <alignment horizontal="center" vertical="center" wrapText="1"/>
      <protection/>
    </xf>
    <xf numFmtId="0" fontId="5" fillId="0" borderId="10" xfId="34" applyFont="1" applyFill="1" applyBorder="1" applyAlignment="1" applyProtection="1">
      <alignment horizontal="center" vertical="center" wrapText="1"/>
      <protection/>
    </xf>
    <xf numFmtId="4" fontId="4" fillId="8" borderId="25" xfId="34" applyNumberFormat="1" applyFont="1" applyFill="1" applyBorder="1" applyAlignment="1" applyProtection="1">
      <alignment horizontal="center" vertical="center" wrapText="1"/>
      <protection locked="0"/>
    </xf>
    <xf numFmtId="4" fontId="4" fillId="8" borderId="37" xfId="34" applyNumberFormat="1" applyFont="1" applyFill="1" applyBorder="1" applyAlignment="1" applyProtection="1">
      <alignment horizontal="center" vertical="center" wrapText="1"/>
      <protection locked="0"/>
    </xf>
    <xf numFmtId="0" fontId="15" fillId="8" borderId="25" xfId="34" applyFont="1" applyFill="1" applyBorder="1" applyAlignment="1" applyProtection="1">
      <alignment horizontal="center" vertical="center" wrapText="1"/>
      <protection locked="0"/>
    </xf>
    <xf numFmtId="0" fontId="15" fillId="8" borderId="83" xfId="34" applyFont="1" applyFill="1" applyBorder="1" applyAlignment="1" applyProtection="1">
      <alignment horizontal="center" vertical="center" wrapText="1"/>
      <protection locked="0"/>
    </xf>
    <xf numFmtId="0" fontId="15" fillId="8" borderId="37" xfId="34" applyFont="1" applyFill="1" applyBorder="1" applyAlignment="1" applyProtection="1">
      <alignment horizontal="center" vertical="center" wrapText="1"/>
      <protection locked="0"/>
    </xf>
    <xf numFmtId="1" fontId="4" fillId="0" borderId="23" xfId="34" applyNumberFormat="1" applyFont="1" applyBorder="1" applyAlignment="1" applyProtection="1">
      <alignment horizontal="center" vertical="center" wrapText="1"/>
      <protection locked="0"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24" xfId="59" applyFont="1" applyFill="1" applyBorder="1" applyAlignment="1">
      <alignment horizontal="center" vertical="center"/>
      <protection/>
    </xf>
    <xf numFmtId="0" fontId="16" fillId="0" borderId="23" xfId="59" applyFont="1" applyFill="1" applyBorder="1" applyAlignment="1">
      <alignment horizontal="center" vertical="center"/>
      <protection/>
    </xf>
    <xf numFmtId="49" fontId="23" fillId="0" borderId="10" xfId="59" applyNumberFormat="1" applyFont="1" applyFill="1" applyBorder="1" applyAlignment="1">
      <alignment horizontal="center" vertical="center" wrapText="1"/>
      <protection/>
    </xf>
    <xf numFmtId="0" fontId="23" fillId="0" borderId="10" xfId="59" applyFont="1" applyFill="1" applyBorder="1" applyAlignment="1">
      <alignment horizontal="center" vertical="center" wrapText="1"/>
      <protection/>
    </xf>
    <xf numFmtId="0" fontId="4" fillId="0" borderId="0" xfId="58" applyFont="1" applyAlignment="1" applyProtection="1">
      <alignment horizontal="left"/>
      <protection hidden="1"/>
    </xf>
    <xf numFmtId="0" fontId="4" fillId="0" borderId="24" xfId="34" applyFont="1" applyBorder="1" applyAlignment="1" applyProtection="1">
      <alignment horizontal="center" vertical="center" wrapText="1"/>
      <protection/>
    </xf>
    <xf numFmtId="0" fontId="4" fillId="0" borderId="11" xfId="34" applyFont="1" applyBorder="1" applyAlignment="1" applyProtection="1">
      <alignment horizontal="center" vertical="center" wrapText="1"/>
      <protection locked="0"/>
    </xf>
    <xf numFmtId="0" fontId="16" fillId="9" borderId="18" xfId="34" applyFont="1" applyFill="1" applyBorder="1" applyAlignment="1" applyProtection="1">
      <alignment horizontal="center" vertical="center" wrapText="1"/>
      <protection/>
    </xf>
    <xf numFmtId="0" fontId="16" fillId="9" borderId="43" xfId="34" applyFont="1" applyFill="1" applyBorder="1" applyAlignment="1" applyProtection="1">
      <alignment horizontal="center" vertical="center" wrapText="1"/>
      <protection/>
    </xf>
    <xf numFmtId="0" fontId="8" fillId="0" borderId="10" xfId="34" applyFont="1" applyBorder="1" applyAlignment="1" applyProtection="1">
      <alignment horizontal="center" vertical="center" wrapText="1"/>
      <protection/>
    </xf>
    <xf numFmtId="0" fontId="8" fillId="0" borderId="10" xfId="34" applyFont="1" applyFill="1" applyBorder="1" applyAlignment="1" applyProtection="1">
      <alignment horizontal="center" vertical="center" wrapText="1"/>
      <protection/>
    </xf>
    <xf numFmtId="0" fontId="56" fillId="0" borderId="10" xfId="59" applyFont="1" applyBorder="1" applyAlignment="1">
      <alignment horizontal="left" wrapText="1"/>
      <protection/>
    </xf>
    <xf numFmtId="0" fontId="56" fillId="0" borderId="10" xfId="59" applyFont="1" applyBorder="1" applyAlignment="1">
      <alignment horizontal="left"/>
      <protection/>
    </xf>
    <xf numFmtId="0" fontId="56" fillId="0" borderId="10" xfId="59" applyFont="1" applyBorder="1" applyAlignment="1">
      <alignment horizontal="center"/>
      <protection/>
    </xf>
    <xf numFmtId="0" fontId="45" fillId="0" borderId="0" xfId="58" applyFont="1" applyAlignment="1" applyProtection="1">
      <alignment horizontal="left"/>
      <protection hidden="1"/>
    </xf>
    <xf numFmtId="49" fontId="23" fillId="0" borderId="10" xfId="59" applyNumberFormat="1" applyFont="1" applyFill="1" applyBorder="1" applyAlignment="1">
      <alignment horizontal="center" vertical="center"/>
      <protection/>
    </xf>
    <xf numFmtId="0" fontId="23" fillId="0" borderId="10" xfId="59" applyFont="1" applyFill="1" applyBorder="1" applyAlignment="1">
      <alignment horizontal="center" wrapText="1"/>
      <protection/>
    </xf>
    <xf numFmtId="0" fontId="4" fillId="0" borderId="25" xfId="36" applyFont="1" applyFill="1" applyBorder="1" applyAlignment="1">
      <alignment horizontal="center" vertical="center" wrapText="1"/>
      <protection/>
    </xf>
    <xf numFmtId="0" fontId="4" fillId="0" borderId="83" xfId="36" applyFont="1" applyFill="1" applyBorder="1" applyAlignment="1">
      <alignment horizontal="center" vertical="center" wrapText="1"/>
      <protection/>
    </xf>
    <xf numFmtId="0" fontId="4" fillId="0" borderId="37" xfId="36" applyFont="1" applyFill="1" applyBorder="1" applyAlignment="1">
      <alignment horizontal="center" vertical="center" wrapText="1"/>
      <protection/>
    </xf>
    <xf numFmtId="0" fontId="4" fillId="0" borderId="25" xfId="36" applyFont="1" applyFill="1" applyBorder="1" applyAlignment="1">
      <alignment horizontal="center" vertical="center"/>
      <protection/>
    </xf>
    <xf numFmtId="0" fontId="4" fillId="0" borderId="83" xfId="36" applyFont="1" applyFill="1" applyBorder="1" applyAlignment="1">
      <alignment horizontal="center" vertical="center"/>
      <protection/>
    </xf>
    <xf numFmtId="0" fontId="4" fillId="0" borderId="37" xfId="36" applyFont="1" applyFill="1" applyBorder="1" applyAlignment="1">
      <alignment horizontal="center" vertical="center"/>
      <protection/>
    </xf>
    <xf numFmtId="0" fontId="4" fillId="2" borderId="25" xfId="36" applyFont="1" applyFill="1" applyBorder="1" applyAlignment="1">
      <alignment horizontal="center" vertical="center"/>
      <protection/>
    </xf>
    <xf numFmtId="0" fontId="4" fillId="2" borderId="83" xfId="36" applyFont="1" applyFill="1" applyBorder="1" applyAlignment="1">
      <alignment horizontal="center" vertical="center"/>
      <protection/>
    </xf>
    <xf numFmtId="0" fontId="4" fillId="2" borderId="37" xfId="36" applyFont="1" applyFill="1" applyBorder="1" applyAlignment="1">
      <alignment horizontal="center" vertical="center"/>
      <protection/>
    </xf>
    <xf numFmtId="0" fontId="4" fillId="0" borderId="50" xfId="36" applyFont="1" applyFill="1" applyBorder="1" applyAlignment="1">
      <alignment horizontal="center" vertical="center"/>
      <protection/>
    </xf>
    <xf numFmtId="0" fontId="4" fillId="2" borderId="25" xfId="36" applyFont="1" applyFill="1" applyBorder="1" applyAlignment="1">
      <alignment horizontal="center" vertical="center" wrapText="1"/>
      <protection/>
    </xf>
    <xf numFmtId="0" fontId="4" fillId="2" borderId="37" xfId="36" applyFont="1" applyFill="1" applyBorder="1" applyAlignment="1">
      <alignment horizontal="center" vertical="center" wrapText="1"/>
      <protection/>
    </xf>
    <xf numFmtId="0" fontId="4" fillId="2" borderId="83" xfId="36" applyFont="1" applyFill="1" applyBorder="1" applyAlignment="1">
      <alignment horizontal="center" vertical="center" wrapText="1"/>
      <protection/>
    </xf>
    <xf numFmtId="0" fontId="0" fillId="0" borderId="22" xfId="36" applyFont="1" applyBorder="1" applyAlignment="1">
      <alignment horizontal="center" vertical="center" wrapText="1"/>
      <protection/>
    </xf>
    <xf numFmtId="0" fontId="0" fillId="0" borderId="16" xfId="36" applyFont="1" applyBorder="1" applyAlignment="1">
      <alignment horizontal="center" vertical="center" wrapText="1"/>
      <protection/>
    </xf>
    <xf numFmtId="0" fontId="24" fillId="0" borderId="0" xfId="58" applyFont="1" applyAlignment="1" applyProtection="1">
      <alignment horizontal="left" vertical="top"/>
      <protection hidden="1"/>
    </xf>
    <xf numFmtId="0" fontId="8" fillId="20" borderId="28" xfId="36" applyFont="1" applyFill="1" applyBorder="1" applyAlignment="1">
      <alignment horizontal="center" vertical="center"/>
      <protection/>
    </xf>
    <xf numFmtId="0" fontId="8" fillId="20" borderId="29" xfId="36" applyFont="1" applyFill="1" applyBorder="1" applyAlignment="1">
      <alignment horizontal="center" vertical="center"/>
      <protection/>
    </xf>
    <xf numFmtId="2" fontId="0" fillId="0" borderId="16" xfId="36" applyNumberFormat="1" applyFont="1" applyBorder="1" applyAlignment="1">
      <alignment horizontal="center" vertical="center" wrapText="1"/>
      <protection/>
    </xf>
    <xf numFmtId="0" fontId="0" fillId="0" borderId="84" xfId="36" applyFont="1" applyBorder="1" applyAlignment="1">
      <alignment horizontal="center" vertical="center" wrapText="1"/>
      <protection/>
    </xf>
    <xf numFmtId="0" fontId="0" fillId="0" borderId="11" xfId="36" applyFont="1" applyBorder="1" applyAlignment="1">
      <alignment horizontal="center" vertical="center" wrapText="1"/>
      <protection/>
    </xf>
    <xf numFmtId="49" fontId="0" fillId="0" borderId="63" xfId="36" applyNumberFormat="1" applyFont="1" applyFill="1" applyBorder="1" applyAlignment="1">
      <alignment horizontal="center" vertical="center" wrapText="1"/>
      <protection/>
    </xf>
    <xf numFmtId="49" fontId="0" fillId="0" borderId="22" xfId="36" applyNumberFormat="1" applyFont="1" applyFill="1" applyBorder="1" applyAlignment="1">
      <alignment horizontal="center" vertical="center" wrapText="1"/>
      <protection/>
    </xf>
    <xf numFmtId="0" fontId="7" fillId="9" borderId="49" xfId="36" applyFont="1" applyFill="1" applyBorder="1" applyAlignment="1" applyProtection="1">
      <alignment horizontal="center" vertical="center" wrapText="1"/>
      <protection/>
    </xf>
    <xf numFmtId="0" fontId="7" fillId="9" borderId="13" xfId="36" applyFont="1" applyFill="1" applyBorder="1" applyAlignment="1" applyProtection="1">
      <alignment horizontal="center" vertical="center" wrapText="1"/>
      <protection/>
    </xf>
    <xf numFmtId="184" fontId="7" fillId="9" borderId="13" xfId="36" applyNumberFormat="1" applyFont="1" applyFill="1" applyBorder="1" applyAlignment="1" applyProtection="1">
      <alignment horizontal="center" vertical="center" wrapText="1"/>
      <protection/>
    </xf>
    <xf numFmtId="0" fontId="0" fillId="21" borderId="63" xfId="36" applyFont="1" applyFill="1" applyBorder="1" applyAlignment="1">
      <alignment horizontal="center" vertical="center" wrapText="1"/>
      <protection/>
    </xf>
    <xf numFmtId="0" fontId="0" fillId="21" borderId="74" xfId="36" applyFont="1" applyFill="1" applyBorder="1" applyAlignment="1">
      <alignment horizontal="center" vertical="center" wrapText="1"/>
      <protection/>
    </xf>
    <xf numFmtId="0" fontId="0" fillId="0" borderId="79" xfId="36" applyFont="1" applyBorder="1" applyAlignment="1">
      <alignment horizontal="center" vertical="center" wrapText="1"/>
      <protection/>
    </xf>
    <xf numFmtId="0" fontId="0" fillId="0" borderId="10" xfId="36" applyFont="1" applyBorder="1" applyAlignment="1">
      <alignment horizontal="center" vertical="center" wrapText="1"/>
      <protection/>
    </xf>
    <xf numFmtId="0" fontId="0" fillId="0" borderId="74" xfId="36" applyFont="1" applyBorder="1" applyAlignment="1">
      <alignment horizontal="center" vertical="center" wrapText="1"/>
      <protection/>
    </xf>
    <xf numFmtId="0" fontId="0" fillId="0" borderId="16" xfId="36" applyFont="1" applyBorder="1" applyAlignment="1">
      <alignment horizontal="center" vertical="center" wrapText="1"/>
      <protection/>
    </xf>
    <xf numFmtId="0" fontId="0" fillId="0" borderId="76" xfId="36" applyFont="1" applyBorder="1" applyAlignment="1">
      <alignment horizontal="center" vertical="center" wrapText="1"/>
      <protection/>
    </xf>
    <xf numFmtId="0" fontId="0" fillId="0" borderId="83" xfId="36" applyFont="1" applyBorder="1" applyAlignment="1">
      <alignment horizontal="center" vertical="center" wrapText="1"/>
      <protection/>
    </xf>
    <xf numFmtId="0" fontId="0" fillId="0" borderId="37" xfId="36" applyFont="1" applyBorder="1" applyAlignment="1">
      <alignment horizontal="center" vertical="center" wrapText="1"/>
      <protection/>
    </xf>
    <xf numFmtId="0" fontId="0" fillId="0" borderId="63" xfId="36" applyFont="1" applyBorder="1" applyAlignment="1">
      <alignment horizontal="center" vertical="center" wrapText="1"/>
      <protection/>
    </xf>
    <xf numFmtId="184" fontId="0" fillId="0" borderId="74" xfId="36" applyNumberFormat="1" applyFont="1" applyBorder="1" applyAlignment="1">
      <alignment horizontal="center" vertical="center" wrapText="1"/>
      <protection/>
    </xf>
    <xf numFmtId="2" fontId="0" fillId="0" borderId="84" xfId="36" applyNumberFormat="1" applyFont="1" applyBorder="1" applyAlignment="1">
      <alignment horizontal="center" vertical="center" wrapText="1"/>
      <protection/>
    </xf>
    <xf numFmtId="0" fontId="0" fillId="0" borderId="23" xfId="36" applyFont="1" applyBorder="1" applyAlignment="1">
      <alignment horizontal="center" vertical="center" wrapText="1"/>
      <protection/>
    </xf>
    <xf numFmtId="0" fontId="0" fillId="23" borderId="61" xfId="36" applyFont="1" applyFill="1" applyBorder="1" applyAlignment="1">
      <alignment horizontal="center" vertical="center" wrapText="1"/>
      <protection/>
    </xf>
    <xf numFmtId="0" fontId="0" fillId="23" borderId="74" xfId="36" applyFont="1" applyFill="1" applyBorder="1" applyAlignment="1">
      <alignment horizontal="center" vertical="center" wrapText="1"/>
      <protection/>
    </xf>
    <xf numFmtId="0" fontId="0" fillId="0" borderId="80" xfId="36" applyFont="1" applyBorder="1" applyAlignment="1">
      <alignment horizontal="center" vertical="center" wrapText="1"/>
      <protection/>
    </xf>
    <xf numFmtId="0" fontId="0" fillId="0" borderId="68" xfId="36" applyFont="1" applyBorder="1" applyAlignment="1">
      <alignment/>
      <protection/>
    </xf>
    <xf numFmtId="0" fontId="0" fillId="0" borderId="81" xfId="36" applyFont="1" applyBorder="1" applyAlignment="1">
      <alignment/>
      <protection/>
    </xf>
    <xf numFmtId="0" fontId="0" fillId="0" borderId="0" xfId="36" applyFont="1" applyBorder="1" applyAlignment="1">
      <alignment horizontal="center" vertical="center" wrapText="1"/>
      <protection/>
    </xf>
    <xf numFmtId="0" fontId="0" fillId="22" borderId="63" xfId="36" applyFont="1" applyFill="1" applyBorder="1" applyAlignment="1">
      <alignment horizontal="center" vertical="center" wrapText="1"/>
      <protection/>
    </xf>
    <xf numFmtId="0" fontId="0" fillId="22" borderId="74" xfId="36" applyFont="1" applyFill="1" applyBorder="1" applyAlignment="1">
      <alignment horizontal="center" vertical="center" wrapText="1"/>
      <protection/>
    </xf>
    <xf numFmtId="0" fontId="0" fillId="0" borderId="38" xfId="36" applyFont="1" applyBorder="1" applyAlignment="1">
      <alignment horizontal="center" vertical="center" wrapText="1"/>
      <protection/>
    </xf>
    <xf numFmtId="0" fontId="0" fillId="0" borderId="20" xfId="36" applyFont="1" applyBorder="1">
      <alignment/>
      <protection/>
    </xf>
    <xf numFmtId="0" fontId="0" fillId="0" borderId="52" xfId="36" applyFont="1" applyBorder="1">
      <alignment/>
      <protection/>
    </xf>
    <xf numFmtId="0" fontId="0" fillId="16" borderId="63" xfId="36" applyFont="1" applyFill="1" applyBorder="1" applyAlignment="1">
      <alignment horizontal="center" vertical="center" wrapText="1"/>
      <protection/>
    </xf>
    <xf numFmtId="0" fontId="0" fillId="16" borderId="74" xfId="3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58" applyFont="1" applyAlignment="1" applyProtection="1">
      <alignment horizontal="left"/>
      <protection hidden="1"/>
    </xf>
    <xf numFmtId="0" fontId="4" fillId="0" borderId="10" xfId="36" applyFont="1" applyFill="1" applyBorder="1" applyAlignment="1">
      <alignment horizontal="center" vertical="center"/>
      <protection/>
    </xf>
  </cellXfs>
  <cellStyles count="59">
    <cellStyle name="Normal" xfId="0"/>
    <cellStyle name="RowLevel_1" xfId="3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Iau?iue" xfId="34"/>
    <cellStyle name="Iau?iue_Инвест АСУ ТП 2012 (+2011) " xfId="35"/>
    <cellStyle name="Iau?iue_Копия Invest 2011Чернігівобленерго_16 поквартально  с изм. НКРЕ" xfId="36"/>
    <cellStyle name="Iau?iue_Копия Invest на 2012  17.02.2012-таблица5 стис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nkre1" xfId="58"/>
    <cellStyle name="Обычный_proekt_regul322_zm_d_1" xfId="59"/>
    <cellStyle name="Обычный_новий шаблон ф.13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dxfs count="3"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U28"/>
  <sheetViews>
    <sheetView zoomScalePageLayoutView="0" workbookViewId="0" topLeftCell="A1">
      <selection activeCell="D30" sqref="D30"/>
    </sheetView>
  </sheetViews>
  <sheetFormatPr defaultColWidth="8.75390625" defaultRowHeight="12.75"/>
  <cols>
    <col min="1" max="1" width="5.875" style="3" customWidth="1"/>
    <col min="2" max="2" width="32.375" style="3" customWidth="1"/>
    <col min="3" max="3" width="14.125" style="3" hidden="1" customWidth="1"/>
    <col min="4" max="4" width="15.00390625" style="3" customWidth="1"/>
    <col min="5" max="5" width="13.875" style="3" customWidth="1"/>
    <col min="6" max="6" width="15.25390625" style="3" customWidth="1"/>
    <col min="7" max="7" width="12.75390625" style="3" customWidth="1"/>
    <col min="8" max="9" width="15.25390625" style="3" customWidth="1"/>
    <col min="10" max="10" width="14.75390625" style="3" customWidth="1"/>
    <col min="11" max="11" width="16.25390625" style="3" customWidth="1"/>
    <col min="12" max="12" width="11.25390625" style="3" hidden="1" customWidth="1"/>
    <col min="13" max="13" width="8.75390625" style="3" hidden="1" customWidth="1"/>
    <col min="14" max="14" width="13.125" style="3" hidden="1" customWidth="1"/>
    <col min="15" max="15" width="10.875" style="3" hidden="1" customWidth="1"/>
    <col min="16" max="18" width="8.75390625" style="3" hidden="1" customWidth="1"/>
    <col min="19" max="19" width="10.375" style="3" hidden="1" customWidth="1"/>
    <col min="20" max="20" width="11.625" style="3" hidden="1" customWidth="1"/>
    <col min="21" max="23" width="8.75390625" style="3" hidden="1" customWidth="1"/>
    <col min="24" max="24" width="11.00390625" style="3" hidden="1" customWidth="1"/>
    <col min="25" max="25" width="14.00390625" style="3" hidden="1" customWidth="1"/>
    <col min="26" max="26" width="3.375" style="3" hidden="1" customWidth="1"/>
    <col min="27" max="27" width="8.75390625" style="3" hidden="1" customWidth="1"/>
    <col min="28" max="28" width="9.625" style="3" hidden="1" customWidth="1"/>
    <col min="29" max="29" width="8.75390625" style="3" hidden="1" customWidth="1"/>
    <col min="30" max="30" width="12.00390625" style="3" hidden="1" customWidth="1"/>
    <col min="31" max="31" width="14.00390625" style="3" hidden="1" customWidth="1"/>
    <col min="32" max="33" width="0" style="3" hidden="1" customWidth="1"/>
    <col min="34" max="34" width="8.75390625" style="3" customWidth="1"/>
    <col min="35" max="36" width="9.125" style="3" bestFit="1" customWidth="1"/>
    <col min="37" max="16384" width="8.75390625" style="3" customWidth="1"/>
  </cols>
  <sheetData>
    <row r="1" spans="1:19" ht="25.5" customHeight="1" thickBot="1">
      <c r="A1" s="898" t="s">
        <v>640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</row>
    <row r="2" spans="1:33" ht="15.75" customHeight="1">
      <c r="A2" s="904" t="s">
        <v>236</v>
      </c>
      <c r="B2" s="906" t="s">
        <v>237</v>
      </c>
      <c r="C2" s="863">
        <v>2009</v>
      </c>
      <c r="D2" s="902" t="s">
        <v>525</v>
      </c>
      <c r="E2" s="902"/>
      <c r="F2" s="900" t="s">
        <v>238</v>
      </c>
      <c r="G2" s="900"/>
      <c r="H2" s="900"/>
      <c r="I2" s="900"/>
      <c r="J2" s="900"/>
      <c r="K2" s="901"/>
      <c r="L2" s="558"/>
      <c r="M2" s="558"/>
      <c r="N2" s="909" t="s">
        <v>715</v>
      </c>
      <c r="O2" s="884"/>
      <c r="P2" s="909" t="s">
        <v>716</v>
      </c>
      <c r="Q2" s="872"/>
      <c r="R2" s="884"/>
      <c r="S2" s="878" t="s">
        <v>717</v>
      </c>
      <c r="T2" s="42"/>
      <c r="U2" s="877"/>
      <c r="V2" s="891" t="s">
        <v>717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264"/>
    </row>
    <row r="3" spans="1:33" ht="18" customHeight="1">
      <c r="A3" s="905"/>
      <c r="B3" s="907"/>
      <c r="C3" s="864"/>
      <c r="D3" s="903"/>
      <c r="E3" s="903"/>
      <c r="F3" s="908">
        <v>2012</v>
      </c>
      <c r="G3" s="908"/>
      <c r="H3" s="559">
        <v>2013</v>
      </c>
      <c r="I3" s="559">
        <v>2014</v>
      </c>
      <c r="J3" s="559">
        <v>2015</v>
      </c>
      <c r="K3" s="560">
        <v>2016</v>
      </c>
      <c r="L3" s="873"/>
      <c r="M3" s="873"/>
      <c r="N3" s="885"/>
      <c r="O3" s="874"/>
      <c r="P3" s="885"/>
      <c r="Q3" s="873"/>
      <c r="R3" s="874"/>
      <c r="S3" s="879"/>
      <c r="T3" s="1"/>
      <c r="U3" s="889"/>
      <c r="V3" s="890"/>
      <c r="W3" s="1"/>
      <c r="X3" s="1"/>
      <c r="Y3" s="1"/>
      <c r="Z3" s="1"/>
      <c r="AA3" s="1"/>
      <c r="AB3" s="1"/>
      <c r="AC3" s="1"/>
      <c r="AD3" s="1"/>
      <c r="AE3" s="889" t="s">
        <v>200</v>
      </c>
      <c r="AF3" s="889"/>
      <c r="AG3" s="890"/>
    </row>
    <row r="4" spans="1:33" ht="14.25" customHeight="1">
      <c r="A4" s="905"/>
      <c r="B4" s="907"/>
      <c r="C4" s="555" t="s">
        <v>744</v>
      </c>
      <c r="D4" s="555" t="s">
        <v>744</v>
      </c>
      <c r="E4" s="555" t="s">
        <v>239</v>
      </c>
      <c r="F4" s="555" t="s">
        <v>744</v>
      </c>
      <c r="G4" s="555" t="s">
        <v>239</v>
      </c>
      <c r="H4" s="555" t="s">
        <v>744</v>
      </c>
      <c r="I4" s="555" t="s">
        <v>744</v>
      </c>
      <c r="J4" s="555" t="s">
        <v>744</v>
      </c>
      <c r="K4" s="561" t="s">
        <v>744</v>
      </c>
      <c r="L4" s="873"/>
      <c r="M4" s="873"/>
      <c r="N4" s="875"/>
      <c r="O4" s="876"/>
      <c r="P4" s="875"/>
      <c r="Q4" s="862"/>
      <c r="R4" s="876"/>
      <c r="S4" s="880"/>
      <c r="T4" s="1"/>
      <c r="U4" s="889"/>
      <c r="V4" s="890"/>
      <c r="W4" s="1"/>
      <c r="X4" s="265" t="s">
        <v>154</v>
      </c>
      <c r="Y4" s="265" t="s">
        <v>155</v>
      </c>
      <c r="Z4" s="1"/>
      <c r="AA4" s="1"/>
      <c r="AB4" s="1"/>
      <c r="AC4" s="1"/>
      <c r="AD4" s="1"/>
      <c r="AE4" s="257" t="s">
        <v>184</v>
      </c>
      <c r="AF4" s="261"/>
      <c r="AG4" s="258" t="s">
        <v>239</v>
      </c>
    </row>
    <row r="5" spans="1:37" ht="41.25" customHeight="1">
      <c r="A5" s="562" t="s">
        <v>240</v>
      </c>
      <c r="B5" s="563" t="s">
        <v>729</v>
      </c>
      <c r="C5" s="557">
        <v>37378.35</v>
      </c>
      <c r="D5" s="556">
        <f>F5</f>
        <v>76286.84344420434</v>
      </c>
      <c r="E5" s="564">
        <f>G5</f>
        <v>0.6927927192173416</v>
      </c>
      <c r="F5" s="556">
        <f>'6. Пров закупівлі'!F86</f>
        <v>76286.84344420434</v>
      </c>
      <c r="G5" s="564">
        <f>IF(F12=0,0,F5/F12)</f>
        <v>0.6927927192173416</v>
      </c>
      <c r="H5" s="556" t="s">
        <v>802</v>
      </c>
      <c r="I5" s="556" t="s">
        <v>802</v>
      </c>
      <c r="J5" s="556" t="s">
        <v>802</v>
      </c>
      <c r="K5" s="556" t="s">
        <v>802</v>
      </c>
      <c r="L5" s="565">
        <f>L12*M5</f>
        <v>38850</v>
      </c>
      <c r="M5" s="566">
        <v>0.7</v>
      </c>
      <c r="N5" s="567">
        <v>38895.00402849999</v>
      </c>
      <c r="O5" s="568">
        <f>N5/N$12</f>
        <v>0.7004323002618515</v>
      </c>
      <c r="P5" s="569">
        <f>P12-P10-P7-P6</f>
        <v>32639.600000000002</v>
      </c>
      <c r="Q5" s="570">
        <f>32700</f>
        <v>32700</v>
      </c>
      <c r="R5" s="571">
        <f>Q5/P$12</f>
        <v>0.7012953590117526</v>
      </c>
      <c r="S5" s="572">
        <f>Q5-N5</f>
        <v>-6195.004028499992</v>
      </c>
      <c r="T5" s="44"/>
      <c r="U5" s="43">
        <f>T12*0.7</f>
        <v>31129.699999999997</v>
      </c>
      <c r="V5" s="48">
        <f>F5-U5</f>
        <v>45157.14344420434</v>
      </c>
      <c r="W5" s="266">
        <f>G5</f>
        <v>0.6927927192173416</v>
      </c>
      <c r="X5" s="267">
        <f aca="true" t="shared" si="0" ref="X5:X12">Y5-F5</f>
        <v>-34995.375037259364</v>
      </c>
      <c r="Y5" s="15">
        <f>Y12*AB5+190-0.02+0.54</f>
        <v>41291.46840694497</v>
      </c>
      <c r="Z5" s="1"/>
      <c r="AA5" s="268">
        <f>Y5/$Y$12</f>
        <v>0.7000215035253275</v>
      </c>
      <c r="AB5" s="259">
        <v>0.6967915845615056</v>
      </c>
      <c r="AC5" s="260">
        <f>0.7*AC12</f>
        <v>41649.78999999999</v>
      </c>
      <c r="AD5" s="262">
        <f>F5-AC5</f>
        <v>34637.05344420434</v>
      </c>
      <c r="AE5" s="43">
        <f>AE12-AE6-AE7-AE10</f>
        <v>41764.09041</v>
      </c>
      <c r="AF5" s="263">
        <f>AE5/AE12</f>
        <v>0.7019210249799579</v>
      </c>
      <c r="AG5" s="269">
        <f>AE5-F5</f>
        <v>-34522.75303420434</v>
      </c>
      <c r="AI5" s="41"/>
      <c r="AJ5" s="41"/>
      <c r="AK5" s="40"/>
    </row>
    <row r="6" spans="1:33" ht="41.25" customHeight="1">
      <c r="A6" s="562" t="s">
        <v>241</v>
      </c>
      <c r="B6" s="563" t="s">
        <v>609</v>
      </c>
      <c r="C6" s="557">
        <v>6459.16</v>
      </c>
      <c r="D6" s="556">
        <f aca="true" t="shared" si="1" ref="D6:D12">F6</f>
        <v>9302.5959</v>
      </c>
      <c r="E6" s="564">
        <f>IF(D12=0,0,D6/D12)</f>
        <v>0.08448076258463563</v>
      </c>
      <c r="F6" s="556">
        <f>'6. Пров закупівлі'!F124</f>
        <v>9302.5959</v>
      </c>
      <c r="G6" s="564">
        <f>IF(F12=0,0,F6/F12)</f>
        <v>0.08448076258463563</v>
      </c>
      <c r="H6" s="556" t="s">
        <v>802</v>
      </c>
      <c r="I6" s="556" t="s">
        <v>802</v>
      </c>
      <c r="J6" s="556" t="s">
        <v>802</v>
      </c>
      <c r="K6" s="556" t="s">
        <v>802</v>
      </c>
      <c r="L6" s="565">
        <f>L12*M6</f>
        <v>5550</v>
      </c>
      <c r="M6" s="566">
        <v>0.1</v>
      </c>
      <c r="N6" s="567">
        <v>5549.00472</v>
      </c>
      <c r="O6" s="568">
        <f>N6/N$12</f>
        <v>0.09992805598748679</v>
      </c>
      <c r="P6" s="569">
        <f>P12*0.1</f>
        <v>4662.8</v>
      </c>
      <c r="Q6" s="570">
        <f>4640-60</f>
        <v>4580</v>
      </c>
      <c r="R6" s="571">
        <f>Q6/P$12</f>
        <v>0.09822424294415373</v>
      </c>
      <c r="S6" s="572">
        <f>Q6-N6</f>
        <v>-969.0047199999999</v>
      </c>
      <c r="T6" s="44"/>
      <c r="U6" s="43">
        <f>T12*0.1</f>
        <v>4447.1</v>
      </c>
      <c r="V6" s="48">
        <f>F6-U6</f>
        <v>4855.4959</v>
      </c>
      <c r="W6" s="266">
        <f>G6</f>
        <v>0.08448076258463563</v>
      </c>
      <c r="X6" s="267">
        <f t="shared" si="0"/>
        <v>-3442.8038643082627</v>
      </c>
      <c r="Y6" s="15">
        <f>Y12*AB6+0.02</f>
        <v>5859.7920356917375</v>
      </c>
      <c r="Z6" s="1"/>
      <c r="AA6" s="268">
        <f aca="true" t="shared" si="2" ref="AA6:AA11">Y6/$Y$12</f>
        <v>0.09934208177689176</v>
      </c>
      <c r="AB6" s="259">
        <v>0.09934174271338517</v>
      </c>
      <c r="AC6" s="261">
        <f>AC12*0.1</f>
        <v>5949.97</v>
      </c>
      <c r="AD6" s="262">
        <f>F6-AC6</f>
        <v>3352.6259</v>
      </c>
      <c r="AE6" s="43">
        <v>5900</v>
      </c>
      <c r="AF6" s="263">
        <f>AE6/AE12</f>
        <v>0.09916016383275883</v>
      </c>
      <c r="AG6" s="269">
        <f>AE6-F6</f>
        <v>-3402.5959000000003</v>
      </c>
    </row>
    <row r="7" spans="1:33" ht="28.5" customHeight="1">
      <c r="A7" s="562" t="s">
        <v>608</v>
      </c>
      <c r="B7" s="563" t="s">
        <v>606</v>
      </c>
      <c r="C7" s="557">
        <v>2618.94</v>
      </c>
      <c r="D7" s="556">
        <f t="shared" si="1"/>
        <v>5221.404305</v>
      </c>
      <c r="E7" s="564">
        <f>IF(D12=0,0,D7/D12)</f>
        <v>0.04741775545136809</v>
      </c>
      <c r="F7" s="556">
        <f>'6. Пров закупівлі'!F160</f>
        <v>5221.404305</v>
      </c>
      <c r="G7" s="564">
        <f>IF(F12=0,0,F7/F12)</f>
        <v>0.04741775545136809</v>
      </c>
      <c r="H7" s="556" t="s">
        <v>802</v>
      </c>
      <c r="I7" s="556" t="s">
        <v>802</v>
      </c>
      <c r="J7" s="556" t="s">
        <v>802</v>
      </c>
      <c r="K7" s="556" t="s">
        <v>802</v>
      </c>
      <c r="L7" s="865">
        <f>L12*M7</f>
        <v>8325</v>
      </c>
      <c r="M7" s="883">
        <v>0.15</v>
      </c>
      <c r="N7" s="567">
        <v>2675.59696</v>
      </c>
      <c r="O7" s="881">
        <v>0.15</v>
      </c>
      <c r="P7" s="868">
        <f>P12*0.15</f>
        <v>6994.2</v>
      </c>
      <c r="Q7" s="870">
        <f>6988+60</f>
        <v>7048</v>
      </c>
      <c r="R7" s="887">
        <f>Q7/P$12</f>
        <v>0.151153813159475</v>
      </c>
      <c r="S7" s="888">
        <f>Q7-N7-N8-N9</f>
        <v>-1280.1389600000002</v>
      </c>
      <c r="T7" s="44"/>
      <c r="U7" s="886">
        <f>T12*0.15</f>
        <v>6670.65</v>
      </c>
      <c r="V7" s="894">
        <f>F7+F8+F9-U7</f>
        <v>9967.971925</v>
      </c>
      <c r="W7" s="892">
        <f>G7+G8+G9</f>
        <v>0.15110228195351774</v>
      </c>
      <c r="X7" s="267">
        <f t="shared" si="0"/>
        <v>-1938.363266297371</v>
      </c>
      <c r="Y7" s="15">
        <f>Y12*AB7-20-14.35</f>
        <v>3283.041038702629</v>
      </c>
      <c r="Z7" s="1"/>
      <c r="AA7" s="268">
        <f t="shared" si="2"/>
        <v>0.055657970343854966</v>
      </c>
      <c r="AB7" s="259">
        <v>0.05624031191643151</v>
      </c>
      <c r="AC7" s="889">
        <f>AC12*0.15</f>
        <v>8924.955</v>
      </c>
      <c r="AD7" s="897">
        <f>F7+F8+F9-AC7</f>
        <v>7713.6669249999995</v>
      </c>
      <c r="AE7" s="886">
        <f>AC12*0.1347</f>
        <v>8014.609589999999</v>
      </c>
      <c r="AF7" s="896">
        <f>AE7/AE12</f>
        <v>0.1347</v>
      </c>
      <c r="AG7" s="895">
        <f>AE7-F7-F8-F9</f>
        <v>-8624.012335000003</v>
      </c>
    </row>
    <row r="8" spans="1:33" ht="30.75" customHeight="1">
      <c r="A8" s="562" t="s">
        <v>242</v>
      </c>
      <c r="B8" s="563" t="s">
        <v>246</v>
      </c>
      <c r="C8" s="557">
        <v>1900.59</v>
      </c>
      <c r="D8" s="556">
        <f t="shared" si="1"/>
        <v>5983.707620000001</v>
      </c>
      <c r="E8" s="564">
        <f>IF(D12=0,0,D8/D12)</f>
        <v>0.05434055055762394</v>
      </c>
      <c r="F8" s="556">
        <f>'6. Пров закупівлі'!F191</f>
        <v>5983.707620000001</v>
      </c>
      <c r="G8" s="564">
        <f>IF(F12=0,0,F8/F12)</f>
        <v>0.05434055055762394</v>
      </c>
      <c r="H8" s="556" t="s">
        <v>802</v>
      </c>
      <c r="I8" s="556" t="s">
        <v>802</v>
      </c>
      <c r="J8" s="556" t="s">
        <v>802</v>
      </c>
      <c r="K8" s="556" t="s">
        <v>802</v>
      </c>
      <c r="L8" s="865"/>
      <c r="M8" s="883"/>
      <c r="N8" s="567">
        <v>1538.54</v>
      </c>
      <c r="O8" s="869"/>
      <c r="P8" s="868"/>
      <c r="Q8" s="870"/>
      <c r="R8" s="887"/>
      <c r="S8" s="888"/>
      <c r="T8" s="44"/>
      <c r="U8" s="886"/>
      <c r="V8" s="894"/>
      <c r="W8" s="893"/>
      <c r="X8" s="267">
        <f t="shared" si="0"/>
        <v>-4480.7133221532695</v>
      </c>
      <c r="Y8" s="15">
        <f>Y12*AB8+21.19</f>
        <v>1502.9942978467313</v>
      </c>
      <c r="Z8" s="1"/>
      <c r="AA8" s="268">
        <f t="shared" si="2"/>
        <v>0.025480525850993987</v>
      </c>
      <c r="AB8" s="259">
        <v>0.025121288065756812</v>
      </c>
      <c r="AC8" s="889"/>
      <c r="AD8" s="897"/>
      <c r="AE8" s="886"/>
      <c r="AF8" s="896"/>
      <c r="AG8" s="895"/>
    </row>
    <row r="9" spans="1:33" ht="30" customHeight="1">
      <c r="A9" s="562" t="s">
        <v>243</v>
      </c>
      <c r="B9" s="563" t="s">
        <v>247</v>
      </c>
      <c r="C9" s="557">
        <v>2774.23</v>
      </c>
      <c r="D9" s="556">
        <f t="shared" si="1"/>
        <v>5433.51</v>
      </c>
      <c r="E9" s="564">
        <f>IF(D12=0,0,D9/D12)</f>
        <v>0.04934397594452572</v>
      </c>
      <c r="F9" s="556">
        <f>'6. Пров закупівлі'!F214</f>
        <v>5433.51</v>
      </c>
      <c r="G9" s="564">
        <f>IF(F12=0,0,F9/F12)</f>
        <v>0.04934397594452572</v>
      </c>
      <c r="H9" s="556" t="s">
        <v>802</v>
      </c>
      <c r="I9" s="556" t="s">
        <v>802</v>
      </c>
      <c r="J9" s="556" t="s">
        <v>802</v>
      </c>
      <c r="K9" s="556" t="s">
        <v>802</v>
      </c>
      <c r="L9" s="865"/>
      <c r="M9" s="883"/>
      <c r="N9" s="567">
        <v>4114.002</v>
      </c>
      <c r="O9" s="882"/>
      <c r="P9" s="868"/>
      <c r="Q9" s="870"/>
      <c r="R9" s="887"/>
      <c r="S9" s="888"/>
      <c r="T9" s="44"/>
      <c r="U9" s="886"/>
      <c r="V9" s="894"/>
      <c r="W9" s="893"/>
      <c r="X9" s="267">
        <f t="shared" si="0"/>
        <v>-2319.953707002457</v>
      </c>
      <c r="Y9" s="15">
        <f>Y12*AB9-25.2-7.38</f>
        <v>3113.556292997543</v>
      </c>
      <c r="Z9" s="1"/>
      <c r="AA9" s="268">
        <f t="shared" si="2"/>
        <v>0.05278466573420037</v>
      </c>
      <c r="AB9" s="259">
        <v>0.05333700018644327</v>
      </c>
      <c r="AC9" s="889"/>
      <c r="AD9" s="897"/>
      <c r="AE9" s="886"/>
      <c r="AF9" s="896"/>
      <c r="AG9" s="895"/>
    </row>
    <row r="10" spans="1:33" ht="28.5" customHeight="1">
      <c r="A10" s="562" t="s">
        <v>244</v>
      </c>
      <c r="B10" s="563" t="s">
        <v>248</v>
      </c>
      <c r="C10" s="557">
        <v>2402.49</v>
      </c>
      <c r="D10" s="556">
        <f t="shared" si="1"/>
        <v>5924.1900000000005</v>
      </c>
      <c r="E10" s="564">
        <f>IF(D12=0,0,D10/D12)</f>
        <v>0.053800046167357715</v>
      </c>
      <c r="F10" s="554">
        <f>'6. Пров закупівлі'!F221</f>
        <v>5924.1900000000005</v>
      </c>
      <c r="G10" s="564">
        <f>IF(F12=0,0,F10/F12)</f>
        <v>0.053800046167357715</v>
      </c>
      <c r="H10" s="556" t="s">
        <v>802</v>
      </c>
      <c r="I10" s="556" t="s">
        <v>802</v>
      </c>
      <c r="J10" s="556" t="s">
        <v>802</v>
      </c>
      <c r="K10" s="556" t="s">
        <v>802</v>
      </c>
      <c r="L10" s="865">
        <f>L12*M10</f>
        <v>2775</v>
      </c>
      <c r="M10" s="883">
        <v>0.05</v>
      </c>
      <c r="N10" s="573">
        <v>2117.52</v>
      </c>
      <c r="O10" s="881">
        <v>0.05</v>
      </c>
      <c r="P10" s="868">
        <f>P12*0.05</f>
        <v>2331.4</v>
      </c>
      <c r="Q10" s="870">
        <v>2300</v>
      </c>
      <c r="R10" s="887">
        <f>Q10/P$12</f>
        <v>0.049326584884618684</v>
      </c>
      <c r="S10" s="888">
        <f>Q10-N10-N11</f>
        <v>-457.85</v>
      </c>
      <c r="T10" s="44"/>
      <c r="U10" s="886">
        <f>T12*0.05</f>
        <v>2223.55</v>
      </c>
      <c r="V10" s="894">
        <f>F10+F11-U10</f>
        <v>5663.35</v>
      </c>
      <c r="W10" s="892">
        <f>G10+G11</f>
        <v>0.07162423624450491</v>
      </c>
      <c r="X10" s="267">
        <f t="shared" si="0"/>
        <v>-2674.992328042037</v>
      </c>
      <c r="Y10" s="15">
        <f>Y12*AB10-190+352.03</f>
        <v>3249.1976719579634</v>
      </c>
      <c r="Z10" s="1"/>
      <c r="AA10" s="268">
        <f t="shared" si="2"/>
        <v>0.05508421781368398</v>
      </c>
      <c r="AB10" s="259">
        <v>0.05233729481500633</v>
      </c>
      <c r="AC10" s="889">
        <f>AC12*0.05</f>
        <v>2974.985</v>
      </c>
      <c r="AD10" s="897">
        <f>F10+F11-AC10</f>
        <v>4911.915000000001</v>
      </c>
      <c r="AE10" s="886">
        <v>3821</v>
      </c>
      <c r="AF10" s="896">
        <f>AE10/AE12</f>
        <v>0.0642188111872833</v>
      </c>
      <c r="AG10" s="895">
        <f>AE10-F10-F11</f>
        <v>-4065.9000000000005</v>
      </c>
    </row>
    <row r="11" spans="1:36" ht="27.75" customHeight="1">
      <c r="A11" s="562" t="s">
        <v>245</v>
      </c>
      <c r="B11" s="563" t="s">
        <v>249</v>
      </c>
      <c r="C11" s="557">
        <v>470.8</v>
      </c>
      <c r="D11" s="556">
        <f t="shared" si="1"/>
        <v>1962.7100000000003</v>
      </c>
      <c r="E11" s="564">
        <f>IF(D12=0,0,D11/D12)</f>
        <v>0.0178241900771472</v>
      </c>
      <c r="F11" s="554">
        <f>'6. Пров закупівлі'!F229</f>
        <v>1962.7100000000003</v>
      </c>
      <c r="G11" s="564">
        <f>IF(F12=0,0,F11/F12)</f>
        <v>0.0178241900771472</v>
      </c>
      <c r="H11" s="556" t="s">
        <v>802</v>
      </c>
      <c r="I11" s="556" t="s">
        <v>802</v>
      </c>
      <c r="J11" s="556" t="s">
        <v>802</v>
      </c>
      <c r="K11" s="556" t="s">
        <v>802</v>
      </c>
      <c r="L11" s="865"/>
      <c r="M11" s="883"/>
      <c r="N11" s="573">
        <v>640.33</v>
      </c>
      <c r="O11" s="882"/>
      <c r="P11" s="868"/>
      <c r="Q11" s="870"/>
      <c r="R11" s="887"/>
      <c r="S11" s="888"/>
      <c r="T11" s="44"/>
      <c r="U11" s="886"/>
      <c r="V11" s="894"/>
      <c r="W11" s="893"/>
      <c r="X11" s="267">
        <f t="shared" si="0"/>
        <v>-1276.7597441415624</v>
      </c>
      <c r="Y11" s="15">
        <f>Y12*AB11-306.83</f>
        <v>685.9502558584379</v>
      </c>
      <c r="Z11" s="1"/>
      <c r="AA11" s="268">
        <f t="shared" si="2"/>
        <v>0.011629034955047603</v>
      </c>
      <c r="AB11" s="259">
        <v>0.0168307777414715</v>
      </c>
      <c r="AC11" s="889"/>
      <c r="AD11" s="897"/>
      <c r="AE11" s="886"/>
      <c r="AF11" s="896"/>
      <c r="AG11" s="895"/>
      <c r="AJ11" s="41"/>
    </row>
    <row r="12" spans="1:33" ht="15" customHeight="1" thickBot="1">
      <c r="A12" s="574"/>
      <c r="B12" s="575" t="s">
        <v>304</v>
      </c>
      <c r="C12" s="576">
        <f>C5+C6+C7+C8+C9+C10+C11</f>
        <v>54004.56</v>
      </c>
      <c r="D12" s="556">
        <f t="shared" si="1"/>
        <v>110114.96126920434</v>
      </c>
      <c r="E12" s="577">
        <f>SUM(E5:E11)</f>
        <v>0.9999999999999999</v>
      </c>
      <c r="F12" s="576">
        <f>SUM(F5:F11)</f>
        <v>110114.96126920434</v>
      </c>
      <c r="G12" s="577">
        <v>0.9999999999999999</v>
      </c>
      <c r="H12" s="576" t="s">
        <v>802</v>
      </c>
      <c r="I12" s="576" t="s">
        <v>802</v>
      </c>
      <c r="J12" s="576" t="s">
        <v>802</v>
      </c>
      <c r="K12" s="576" t="s">
        <v>802</v>
      </c>
      <c r="L12" s="578">
        <v>55500</v>
      </c>
      <c r="M12" s="579">
        <f>SUM(M5:M11)</f>
        <v>1</v>
      </c>
      <c r="N12" s="580">
        <v>55529.99770849999</v>
      </c>
      <c r="O12" s="581">
        <f>SUM(O5:O11)</f>
        <v>1.0003603562493384</v>
      </c>
      <c r="P12" s="866">
        <v>46628</v>
      </c>
      <c r="Q12" s="867"/>
      <c r="R12" s="582">
        <f>SUM(R5:R11)</f>
        <v>1</v>
      </c>
      <c r="S12" s="583">
        <f>SUM(S5:S10)</f>
        <v>-8901.997708499994</v>
      </c>
      <c r="T12" s="45">
        <v>44471</v>
      </c>
      <c r="U12" s="46">
        <f>SUM(U5:U11)</f>
        <v>44471</v>
      </c>
      <c r="V12" s="47">
        <f>SUM(V5:V11)</f>
        <v>65643.96126920434</v>
      </c>
      <c r="W12" s="270"/>
      <c r="X12" s="271">
        <f t="shared" si="0"/>
        <v>-51128.961269204345</v>
      </c>
      <c r="Y12" s="270">
        <v>58986</v>
      </c>
      <c r="Z12" s="270"/>
      <c r="AA12" s="272">
        <f>SUM(AA5:AA11)</f>
        <v>1.0000000000000002</v>
      </c>
      <c r="AB12" s="270"/>
      <c r="AC12" s="273">
        <v>59499.7</v>
      </c>
      <c r="AD12" s="274">
        <f>F12-AC12</f>
        <v>50615.26126920435</v>
      </c>
      <c r="AE12" s="46">
        <v>59499.7</v>
      </c>
      <c r="AF12" s="273"/>
      <c r="AG12" s="47">
        <f>AE12-F12</f>
        <v>-50615.26126920435</v>
      </c>
    </row>
    <row r="13" spans="1:35" s="1" customFormat="1" ht="12.75">
      <c r="A13" s="584"/>
      <c r="B13" s="584"/>
      <c r="C13" s="584"/>
      <c r="D13" s="584"/>
      <c r="E13" s="65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4"/>
      <c r="S13" s="584"/>
      <c r="AE13" s="44"/>
      <c r="AI13" s="267"/>
    </row>
    <row r="14" spans="1:19" s="38" customFormat="1" ht="15" customHeight="1">
      <c r="A14" s="22"/>
      <c r="B14" s="71"/>
      <c r="C14" s="71"/>
      <c r="D14" s="22"/>
      <c r="E14" s="585"/>
      <c r="F14" s="586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39"/>
      <c r="S14" s="39"/>
    </row>
    <row r="15" spans="1:73" s="35" customFormat="1" ht="33.75" customHeight="1">
      <c r="A15" s="587"/>
      <c r="B15" s="534" t="s">
        <v>202</v>
      </c>
      <c r="C15" s="534"/>
      <c r="D15" s="538"/>
      <c r="E15" s="629" t="s">
        <v>151</v>
      </c>
      <c r="F15" s="629"/>
      <c r="G15" s="629"/>
      <c r="H15" s="687" t="s">
        <v>326</v>
      </c>
      <c r="I15" s="688"/>
      <c r="J15" s="588"/>
      <c r="K15" s="589"/>
      <c r="L15" s="590"/>
      <c r="M15" s="589"/>
      <c r="N15" s="589"/>
      <c r="O15" s="589"/>
      <c r="P15" s="590"/>
      <c r="Q15" s="589"/>
      <c r="R15" s="591"/>
      <c r="S15" s="27"/>
      <c r="T15" s="36"/>
      <c r="U15" s="27"/>
      <c r="V15" s="27"/>
      <c r="W15" s="27"/>
      <c r="X15" s="27"/>
      <c r="Y15" s="28"/>
      <c r="Z15" s="27"/>
      <c r="AA15" s="28"/>
      <c r="AB15" s="254"/>
      <c r="AC15" s="29"/>
      <c r="AD15" s="29"/>
      <c r="AE15" s="29"/>
      <c r="AF15" s="30"/>
      <c r="AG15" s="30"/>
      <c r="AH15" s="29"/>
      <c r="AI15" s="30"/>
      <c r="AJ15" s="29"/>
      <c r="AK15" s="30"/>
      <c r="AL15" s="29"/>
      <c r="AM15" s="30"/>
      <c r="AN15" s="29"/>
      <c r="AO15" s="30"/>
      <c r="AP15" s="29"/>
      <c r="AQ15" s="30"/>
      <c r="AR15" s="29"/>
      <c r="AS15" s="30"/>
      <c r="AT15" s="29"/>
      <c r="AU15" s="30"/>
      <c r="AV15" s="29"/>
      <c r="AW15" s="30"/>
      <c r="AX15" s="29"/>
      <c r="AY15" s="30"/>
      <c r="AZ15" s="29"/>
      <c r="BA15" s="30"/>
      <c r="BB15" s="29"/>
      <c r="BC15" s="30"/>
      <c r="BD15" s="29"/>
      <c r="BE15" s="30"/>
      <c r="BF15" s="29"/>
      <c r="BG15" s="30"/>
      <c r="BH15" s="29"/>
      <c r="BI15" s="30"/>
      <c r="BJ15" s="29"/>
      <c r="BK15" s="30"/>
      <c r="BL15" s="29"/>
      <c r="BM15" s="30"/>
      <c r="BN15" s="29"/>
      <c r="BO15" s="30"/>
      <c r="BP15" s="30"/>
      <c r="BQ15" s="31"/>
      <c r="BR15" s="32"/>
      <c r="BS15" s="32"/>
      <c r="BT15" s="33"/>
      <c r="BU15" s="34"/>
    </row>
    <row r="16" spans="1:28" s="39" customFormat="1" ht="14.25">
      <c r="A16" s="22"/>
      <c r="B16" s="537"/>
      <c r="C16" s="537"/>
      <c r="D16" s="538"/>
      <c r="E16" s="629" t="s">
        <v>152</v>
      </c>
      <c r="F16" s="629"/>
      <c r="G16" s="629"/>
      <c r="H16" s="629" t="s">
        <v>315</v>
      </c>
      <c r="I16" s="689"/>
      <c r="J16" s="22"/>
      <c r="K16" s="22"/>
      <c r="L16" s="22"/>
      <c r="M16" s="22"/>
      <c r="N16" s="22"/>
      <c r="O16" s="22"/>
      <c r="P16" s="22"/>
      <c r="Q16" s="22"/>
      <c r="X16" s="253"/>
      <c r="AB16" s="255"/>
    </row>
    <row r="17" spans="1:28" s="39" customFormat="1" ht="14.25">
      <c r="A17" s="22"/>
      <c r="B17" s="537"/>
      <c r="C17" s="537"/>
      <c r="D17" s="538"/>
      <c r="E17" s="538"/>
      <c r="F17" s="538"/>
      <c r="G17" s="538"/>
      <c r="H17" s="538"/>
      <c r="I17" s="689"/>
      <c r="J17" s="22"/>
      <c r="K17" s="22"/>
      <c r="L17" s="22"/>
      <c r="M17" s="22"/>
      <c r="N17" s="22"/>
      <c r="O17" s="22"/>
      <c r="P17" s="22"/>
      <c r="Q17" s="22"/>
      <c r="AB17" s="255"/>
    </row>
    <row r="18" spans="1:28" ht="14.25">
      <c r="A18" s="37"/>
      <c r="B18" s="690"/>
      <c r="C18" s="690"/>
      <c r="D18" s="690"/>
      <c r="E18" s="690"/>
      <c r="F18" s="690"/>
      <c r="G18" s="690"/>
      <c r="H18" s="690"/>
      <c r="I18" s="691"/>
      <c r="J18" s="37"/>
      <c r="K18" s="37"/>
      <c r="AB18" s="256"/>
    </row>
    <row r="19" spans="1:11" ht="14.25">
      <c r="A19" s="37"/>
      <c r="B19" s="538"/>
      <c r="C19" s="538"/>
      <c r="D19" s="538"/>
      <c r="E19" s="538"/>
      <c r="F19" s="538"/>
      <c r="G19" s="538"/>
      <c r="H19" s="538"/>
      <c r="I19" s="691"/>
      <c r="J19" s="37"/>
      <c r="K19" s="37"/>
    </row>
    <row r="20" spans="1:11" ht="15" hidden="1">
      <c r="A20" s="37"/>
      <c r="B20" s="534" t="s">
        <v>203</v>
      </c>
      <c r="C20" s="534"/>
      <c r="D20" s="538"/>
      <c r="E20" s="629" t="s">
        <v>151</v>
      </c>
      <c r="F20" s="629"/>
      <c r="G20" s="629"/>
      <c r="H20" s="687" t="s">
        <v>204</v>
      </c>
      <c r="I20" s="691"/>
      <c r="J20" s="37"/>
      <c r="K20" s="37"/>
    </row>
    <row r="21" spans="1:11" ht="14.25" hidden="1">
      <c r="A21" s="37"/>
      <c r="B21" s="537"/>
      <c r="C21" s="537"/>
      <c r="D21" s="538"/>
      <c r="E21" s="629" t="s">
        <v>152</v>
      </c>
      <c r="F21" s="629"/>
      <c r="G21" s="629"/>
      <c r="H21" s="629" t="s">
        <v>315</v>
      </c>
      <c r="I21" s="691"/>
      <c r="J21" s="37"/>
      <c r="K21" s="37"/>
    </row>
    <row r="22" spans="1:11" ht="14.25" hidden="1">
      <c r="A22" s="37"/>
      <c r="B22" s="537"/>
      <c r="C22" s="537"/>
      <c r="D22" s="538"/>
      <c r="E22" s="538"/>
      <c r="F22" s="538"/>
      <c r="G22" s="538"/>
      <c r="H22" s="538"/>
      <c r="I22" s="691"/>
      <c r="J22" s="37"/>
      <c r="K22" s="37"/>
    </row>
    <row r="23" spans="1:11" ht="14.25" hidden="1">
      <c r="A23" s="37"/>
      <c r="B23" s="871" t="s">
        <v>153</v>
      </c>
      <c r="C23" s="871"/>
      <c r="D23" s="871"/>
      <c r="E23" s="871"/>
      <c r="F23" s="630"/>
      <c r="G23" s="538"/>
      <c r="H23" s="538"/>
      <c r="I23" s="691"/>
      <c r="J23" s="37"/>
      <c r="K23" s="37"/>
    </row>
    <row r="24" spans="2:9" ht="14.25" hidden="1">
      <c r="B24" s="631" t="s">
        <v>316</v>
      </c>
      <c r="C24" s="538"/>
      <c r="D24" s="538"/>
      <c r="E24" s="538"/>
      <c r="F24" s="538"/>
      <c r="G24" s="538"/>
      <c r="H24" s="538"/>
      <c r="I24" s="692"/>
    </row>
    <row r="25" spans="2:9" ht="14.25">
      <c r="B25" s="538"/>
      <c r="C25" s="538"/>
      <c r="D25" s="538"/>
      <c r="E25" s="538"/>
      <c r="F25" s="538"/>
      <c r="G25" s="538"/>
      <c r="H25" s="538"/>
      <c r="I25" s="692"/>
    </row>
    <row r="26" spans="2:8" ht="12.75">
      <c r="B26" s="39"/>
      <c r="C26" s="39"/>
      <c r="D26" s="39"/>
      <c r="E26" s="39"/>
      <c r="F26" s="39"/>
      <c r="G26" s="39"/>
      <c r="H26" s="39"/>
    </row>
    <row r="28" ht="12.75">
      <c r="X28" s="41"/>
    </row>
    <row r="33" ht="12" customHeight="1"/>
  </sheetData>
  <sheetProtection/>
  <mergeCells count="47">
    <mergeCell ref="B23:E23"/>
    <mergeCell ref="P2:R4"/>
    <mergeCell ref="M3:M4"/>
    <mergeCell ref="L3:L4"/>
    <mergeCell ref="C2:C3"/>
    <mergeCell ref="L7:L9"/>
    <mergeCell ref="L10:L11"/>
    <mergeCell ref="P12:Q12"/>
    <mergeCell ref="Q7:Q9"/>
    <mergeCell ref="S2:S4"/>
    <mergeCell ref="O10:O11"/>
    <mergeCell ref="M7:M9"/>
    <mergeCell ref="M10:M11"/>
    <mergeCell ref="P10:P11"/>
    <mergeCell ref="O7:O9"/>
    <mergeCell ref="P7:P9"/>
    <mergeCell ref="Q10:Q11"/>
    <mergeCell ref="AG10:AG11"/>
    <mergeCell ref="V10:V11"/>
    <mergeCell ref="R10:R11"/>
    <mergeCell ref="W10:W11"/>
    <mergeCell ref="AD10:AD11"/>
    <mergeCell ref="S10:S11"/>
    <mergeCell ref="AE10:AE11"/>
    <mergeCell ref="AF10:AF11"/>
    <mergeCell ref="AC10:AC11"/>
    <mergeCell ref="U10:U11"/>
    <mergeCell ref="AD7:AD9"/>
    <mergeCell ref="A1:S1"/>
    <mergeCell ref="F2:K2"/>
    <mergeCell ref="D2:E3"/>
    <mergeCell ref="A2:A4"/>
    <mergeCell ref="B2:B4"/>
    <mergeCell ref="F3:G3"/>
    <mergeCell ref="N2:O4"/>
    <mergeCell ref="U2:U4"/>
    <mergeCell ref="U7:U9"/>
    <mergeCell ref="AE7:AE9"/>
    <mergeCell ref="R7:R9"/>
    <mergeCell ref="S7:S9"/>
    <mergeCell ref="AE3:AG3"/>
    <mergeCell ref="V2:V4"/>
    <mergeCell ref="W7:W9"/>
    <mergeCell ref="V7:V9"/>
    <mergeCell ref="AG7:AG9"/>
    <mergeCell ref="AC7:AC9"/>
    <mergeCell ref="AF7:AF9"/>
  </mergeCells>
  <conditionalFormatting sqref="AB5 AD5 E5:E11 G5:G11">
    <cfRule type="cellIs" priority="4" dxfId="2" operator="greaterThan" stopIfTrue="1">
      <formula>65</formula>
    </cfRule>
  </conditionalFormatting>
  <printOptions/>
  <pageMargins left="0.24" right="0.17" top="1.01" bottom="0.61" header="0.5" footer="0.39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M8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4.25390625" style="0" customWidth="1"/>
    <col min="2" max="2" width="12.25390625" style="0" customWidth="1"/>
    <col min="3" max="3" width="11.00390625" style="0" bestFit="1" customWidth="1"/>
    <col min="4" max="4" width="10.625" style="0" customWidth="1"/>
    <col min="5" max="5" width="9.875" style="0" customWidth="1"/>
    <col min="6" max="6" width="7.75390625" style="0" customWidth="1"/>
    <col min="7" max="7" width="12.75390625" style="0" customWidth="1"/>
    <col min="8" max="8" width="11.125" style="0" customWidth="1"/>
    <col min="9" max="9" width="11.75390625" style="0" customWidth="1"/>
    <col min="10" max="10" width="11.25390625" style="0" customWidth="1"/>
    <col min="11" max="11" width="11.125" style="0" customWidth="1"/>
    <col min="12" max="12" width="20.625" style="0" customWidth="1"/>
  </cols>
  <sheetData>
    <row r="1" spans="1:13" s="7" customFormat="1" ht="25.5" customHeight="1">
      <c r="A1" s="854" t="s">
        <v>645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6"/>
    </row>
    <row r="2" spans="1:13" s="8" customFormat="1" ht="14.25" customHeight="1">
      <c r="A2" s="857" t="s">
        <v>236</v>
      </c>
      <c r="B2" s="913" t="s">
        <v>251</v>
      </c>
      <c r="C2" s="912" t="s">
        <v>539</v>
      </c>
      <c r="D2" s="912"/>
      <c r="E2" s="857" t="s">
        <v>238</v>
      </c>
      <c r="F2" s="857"/>
      <c r="G2" s="857"/>
      <c r="H2" s="857"/>
      <c r="I2" s="857"/>
      <c r="J2" s="857"/>
      <c r="K2" s="919"/>
      <c r="L2" s="913" t="s">
        <v>601</v>
      </c>
      <c r="M2" s="913" t="s">
        <v>587</v>
      </c>
    </row>
    <row r="3" spans="1:13" s="8" customFormat="1" ht="35.25" customHeight="1">
      <c r="A3" s="857"/>
      <c r="B3" s="914"/>
      <c r="C3" s="912"/>
      <c r="D3" s="912"/>
      <c r="E3" s="916">
        <v>2012</v>
      </c>
      <c r="F3" s="917"/>
      <c r="G3" s="917"/>
      <c r="H3" s="25">
        <v>2013</v>
      </c>
      <c r="I3" s="25">
        <v>2014</v>
      </c>
      <c r="J3" s="25">
        <v>2015</v>
      </c>
      <c r="K3" s="25">
        <v>2016</v>
      </c>
      <c r="L3" s="914"/>
      <c r="M3" s="914"/>
    </row>
    <row r="4" spans="1:13" s="8" customFormat="1" ht="17.25" customHeight="1">
      <c r="A4" s="857"/>
      <c r="B4" s="914"/>
      <c r="C4" s="857" t="s">
        <v>745</v>
      </c>
      <c r="D4" s="857" t="s">
        <v>239</v>
      </c>
      <c r="E4" s="858" t="s">
        <v>252</v>
      </c>
      <c r="F4" s="859"/>
      <c r="G4" s="913" t="s">
        <v>297</v>
      </c>
      <c r="H4" s="857" t="s">
        <v>745</v>
      </c>
      <c r="I4" s="857" t="s">
        <v>745</v>
      </c>
      <c r="J4" s="857" t="s">
        <v>745</v>
      </c>
      <c r="K4" s="919" t="s">
        <v>745</v>
      </c>
      <c r="L4" s="915"/>
      <c r="M4" s="914"/>
    </row>
    <row r="5" spans="1:13" s="8" customFormat="1" ht="15.75" customHeight="1" hidden="1">
      <c r="A5" s="857"/>
      <c r="B5" s="914"/>
      <c r="C5" s="857"/>
      <c r="D5" s="857"/>
      <c r="E5" s="910"/>
      <c r="F5" s="911"/>
      <c r="G5" s="914"/>
      <c r="H5" s="857"/>
      <c r="I5" s="857"/>
      <c r="J5" s="857"/>
      <c r="K5" s="919"/>
      <c r="L5" s="475"/>
      <c r="M5" s="914"/>
    </row>
    <row r="6" spans="1:13" s="8" customFormat="1" ht="32.25" customHeight="1">
      <c r="A6" s="857"/>
      <c r="B6" s="915"/>
      <c r="C6" s="857"/>
      <c r="D6" s="857"/>
      <c r="E6" s="475" t="s">
        <v>745</v>
      </c>
      <c r="F6" s="475" t="s">
        <v>239</v>
      </c>
      <c r="G6" s="915"/>
      <c r="H6" s="857"/>
      <c r="I6" s="857"/>
      <c r="J6" s="857"/>
      <c r="K6" s="919"/>
      <c r="L6" s="24" t="s">
        <v>600</v>
      </c>
      <c r="M6" s="915"/>
    </row>
    <row r="7" spans="1:13" s="8" customFormat="1" ht="15.75" customHeight="1">
      <c r="A7" s="513">
        <v>1</v>
      </c>
      <c r="B7" s="512">
        <v>2</v>
      </c>
      <c r="C7" s="513">
        <v>3</v>
      </c>
      <c r="D7" s="513">
        <v>4</v>
      </c>
      <c r="E7" s="513">
        <v>5</v>
      </c>
      <c r="F7" s="513">
        <v>6</v>
      </c>
      <c r="G7" s="544">
        <v>7</v>
      </c>
      <c r="H7" s="513">
        <v>8</v>
      </c>
      <c r="I7" s="513">
        <v>9</v>
      </c>
      <c r="J7" s="513">
        <v>10</v>
      </c>
      <c r="K7" s="512">
        <v>11</v>
      </c>
      <c r="L7" s="513">
        <v>12</v>
      </c>
      <c r="M7" s="513">
        <v>13</v>
      </c>
    </row>
    <row r="8" spans="1:13" s="7" customFormat="1" ht="25.5">
      <c r="A8" s="4">
        <v>1</v>
      </c>
      <c r="B8" s="4" t="s">
        <v>96</v>
      </c>
      <c r="C8" s="550">
        <f>H8+I8+J8+K8+E8</f>
        <v>39644.087061000006</v>
      </c>
      <c r="D8" s="366">
        <v>100</v>
      </c>
      <c r="E8" s="366">
        <f>'6. Пров закупівлі'!F221</f>
        <v>5924.1900000000005</v>
      </c>
      <c r="F8" s="550">
        <v>100</v>
      </c>
      <c r="G8" s="4"/>
      <c r="H8" s="4">
        <f>E8*1.2</f>
        <v>7109.028</v>
      </c>
      <c r="I8" s="366">
        <f>H8*1.15</f>
        <v>8175.3822</v>
      </c>
      <c r="J8" s="366">
        <f>I8*1.1</f>
        <v>8992.92042</v>
      </c>
      <c r="K8" s="366">
        <f>J8*1.05</f>
        <v>9442.566441</v>
      </c>
      <c r="L8" s="4" t="s">
        <v>703</v>
      </c>
      <c r="M8" s="4"/>
    </row>
  </sheetData>
  <sheetProtection/>
  <mergeCells count="16">
    <mergeCell ref="J4:J6"/>
    <mergeCell ref="K4:K6"/>
    <mergeCell ref="E4:F5"/>
    <mergeCell ref="G4:G6"/>
    <mergeCell ref="H4:H6"/>
    <mergeCell ref="I4:I6"/>
    <mergeCell ref="A1:M1"/>
    <mergeCell ref="A2:A6"/>
    <mergeCell ref="B2:B6"/>
    <mergeCell ref="C2:D3"/>
    <mergeCell ref="E2:K2"/>
    <mergeCell ref="L2:L4"/>
    <mergeCell ref="M2:M6"/>
    <mergeCell ref="E3:G3"/>
    <mergeCell ref="C4:C6"/>
    <mergeCell ref="D4:D6"/>
  </mergeCells>
  <printOptions/>
  <pageMargins left="0.27" right="0.33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M8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5.625" style="7" customWidth="1"/>
    <col min="2" max="2" width="22.75390625" style="7" customWidth="1"/>
    <col min="3" max="3" width="13.125" style="7" customWidth="1"/>
    <col min="4" max="4" width="8.625" style="7" customWidth="1"/>
    <col min="5" max="5" width="14.00390625" style="7" customWidth="1"/>
    <col min="6" max="6" width="8.625" style="7" customWidth="1"/>
    <col min="7" max="7" width="16.375" style="7" customWidth="1"/>
    <col min="8" max="8" width="14.625" style="7" customWidth="1"/>
    <col min="9" max="9" width="13.375" style="7" customWidth="1"/>
    <col min="10" max="10" width="13.25390625" style="7" customWidth="1"/>
    <col min="11" max="11" width="13.375" style="7" customWidth="1"/>
    <col min="12" max="12" width="19.125" style="7" customWidth="1"/>
    <col min="13" max="13" width="10.75390625" style="7" customWidth="1"/>
    <col min="14" max="16384" width="9.125" style="7" customWidth="1"/>
  </cols>
  <sheetData>
    <row r="1" spans="1:13" ht="22.5" customHeight="1">
      <c r="A1" s="854" t="s">
        <v>646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6"/>
    </row>
    <row r="2" spans="1:13" s="8" customFormat="1" ht="18" customHeight="1">
      <c r="A2" s="857" t="s">
        <v>236</v>
      </c>
      <c r="B2" s="913" t="s">
        <v>251</v>
      </c>
      <c r="C2" s="912" t="s">
        <v>539</v>
      </c>
      <c r="D2" s="912"/>
      <c r="E2" s="857" t="s">
        <v>238</v>
      </c>
      <c r="F2" s="857"/>
      <c r="G2" s="857"/>
      <c r="H2" s="857"/>
      <c r="I2" s="857"/>
      <c r="J2" s="857"/>
      <c r="K2" s="919"/>
      <c r="L2" s="913" t="s">
        <v>601</v>
      </c>
      <c r="M2" s="913" t="s">
        <v>587</v>
      </c>
    </row>
    <row r="3" spans="1:13" s="8" customFormat="1" ht="26.25" customHeight="1">
      <c r="A3" s="857"/>
      <c r="B3" s="914"/>
      <c r="C3" s="912"/>
      <c r="D3" s="912"/>
      <c r="E3" s="916">
        <v>2012</v>
      </c>
      <c r="F3" s="917"/>
      <c r="G3" s="917"/>
      <c r="H3" s="25">
        <v>2013</v>
      </c>
      <c r="I3" s="25">
        <v>2014</v>
      </c>
      <c r="J3" s="25">
        <v>2015</v>
      </c>
      <c r="K3" s="25">
        <v>2016</v>
      </c>
      <c r="L3" s="914"/>
      <c r="M3" s="914"/>
    </row>
    <row r="4" spans="1:13" s="8" customFormat="1" ht="17.25" customHeight="1">
      <c r="A4" s="857"/>
      <c r="B4" s="914"/>
      <c r="C4" s="857" t="s">
        <v>745</v>
      </c>
      <c r="D4" s="857" t="s">
        <v>239</v>
      </c>
      <c r="E4" s="858" t="s">
        <v>252</v>
      </c>
      <c r="F4" s="859"/>
      <c r="G4" s="913" t="s">
        <v>297</v>
      </c>
      <c r="H4" s="857" t="s">
        <v>745</v>
      </c>
      <c r="I4" s="857" t="s">
        <v>745</v>
      </c>
      <c r="J4" s="857" t="s">
        <v>745</v>
      </c>
      <c r="K4" s="919" t="s">
        <v>745</v>
      </c>
      <c r="L4" s="914"/>
      <c r="M4" s="914"/>
    </row>
    <row r="5" spans="1:13" s="8" customFormat="1" ht="18.75" customHeight="1">
      <c r="A5" s="857"/>
      <c r="B5" s="914"/>
      <c r="C5" s="857"/>
      <c r="D5" s="857"/>
      <c r="E5" s="910"/>
      <c r="F5" s="911"/>
      <c r="G5" s="914"/>
      <c r="H5" s="857"/>
      <c r="I5" s="857"/>
      <c r="J5" s="857"/>
      <c r="K5" s="919"/>
      <c r="L5" s="915"/>
      <c r="M5" s="914"/>
    </row>
    <row r="6" spans="1:13" s="8" customFormat="1" ht="24" customHeight="1">
      <c r="A6" s="857"/>
      <c r="B6" s="915"/>
      <c r="C6" s="857"/>
      <c r="D6" s="857"/>
      <c r="E6" s="475" t="s">
        <v>745</v>
      </c>
      <c r="F6" s="475" t="s">
        <v>239</v>
      </c>
      <c r="G6" s="915"/>
      <c r="H6" s="857"/>
      <c r="I6" s="857"/>
      <c r="J6" s="857"/>
      <c r="K6" s="919"/>
      <c r="L6" s="24" t="s">
        <v>600</v>
      </c>
      <c r="M6" s="915"/>
    </row>
    <row r="7" spans="1:13" s="8" customFormat="1" ht="15" customHeight="1">
      <c r="A7" s="551">
        <v>1</v>
      </c>
      <c r="B7" s="552">
        <v>2</v>
      </c>
      <c r="C7" s="551">
        <v>3</v>
      </c>
      <c r="D7" s="551">
        <v>4</v>
      </c>
      <c r="E7" s="551">
        <v>5</v>
      </c>
      <c r="F7" s="551">
        <v>6</v>
      </c>
      <c r="G7" s="552">
        <v>7</v>
      </c>
      <c r="H7" s="551">
        <v>8</v>
      </c>
      <c r="I7" s="551">
        <v>9</v>
      </c>
      <c r="J7" s="551">
        <v>10</v>
      </c>
      <c r="K7" s="553">
        <v>11</v>
      </c>
      <c r="L7" s="513">
        <v>12</v>
      </c>
      <c r="M7" s="513">
        <v>13</v>
      </c>
    </row>
    <row r="8" spans="1:13" s="9" customFormat="1" ht="25.5">
      <c r="A8" s="4">
        <v>1</v>
      </c>
      <c r="B8" s="4" t="s">
        <v>103</v>
      </c>
      <c r="C8" s="366">
        <f>H8+I8+J8+K8+E8</f>
        <v>13134.259049000002</v>
      </c>
      <c r="D8" s="366">
        <v>100</v>
      </c>
      <c r="E8" s="366">
        <f>'6. Пров закупівлі'!F229</f>
        <v>1962.7100000000003</v>
      </c>
      <c r="F8" s="550">
        <v>100</v>
      </c>
      <c r="G8" s="4"/>
      <c r="H8" s="367">
        <f>E8*1.2</f>
        <v>2355.2520000000004</v>
      </c>
      <c r="I8" s="367">
        <f>H8*1.15</f>
        <v>2708.5398000000005</v>
      </c>
      <c r="J8" s="367">
        <f>I8*1.1</f>
        <v>2979.393780000001</v>
      </c>
      <c r="K8" s="367">
        <f>J8*1.05</f>
        <v>3128.363469000001</v>
      </c>
      <c r="L8" s="4" t="s">
        <v>704</v>
      </c>
      <c r="M8" s="4"/>
    </row>
  </sheetData>
  <sheetProtection insertRows="0" deleteRows="0"/>
  <mergeCells count="16">
    <mergeCell ref="M2:M6"/>
    <mergeCell ref="L2:L5"/>
    <mergeCell ref="A1:M1"/>
    <mergeCell ref="H4:H6"/>
    <mergeCell ref="D4:D6"/>
    <mergeCell ref="E4:F5"/>
    <mergeCell ref="G4:G6"/>
    <mergeCell ref="B2:B6"/>
    <mergeCell ref="I4:I6"/>
    <mergeCell ref="J4:J6"/>
    <mergeCell ref="K4:K6"/>
    <mergeCell ref="A2:A6"/>
    <mergeCell ref="C2:D3"/>
    <mergeCell ref="E2:K2"/>
    <mergeCell ref="E3:G3"/>
    <mergeCell ref="C4:C6"/>
  </mergeCells>
  <printOptions/>
  <pageMargins left="0.26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247"/>
  <sheetViews>
    <sheetView tabSelected="1" defaultGridColor="0" zoomScale="85" zoomScaleNormal="85" zoomScaleSheetLayoutView="85" zoomScalePageLayoutView="55" colorId="12" workbookViewId="0" topLeftCell="A6">
      <pane xSplit="6" ySplit="8" topLeftCell="G14" activePane="bottomRight" state="frozen"/>
      <selection pane="topLeft" activeCell="A6" sqref="A6"/>
      <selection pane="topRight" activeCell="G6" sqref="G6"/>
      <selection pane="bottomLeft" activeCell="A14" sqref="A14"/>
      <selection pane="bottomRight" activeCell="A6" sqref="A6"/>
    </sheetView>
  </sheetViews>
  <sheetFormatPr defaultColWidth="9.00390625" defaultRowHeight="12.75"/>
  <cols>
    <col min="1" max="1" width="8.875" style="75" customWidth="1"/>
    <col min="2" max="2" width="60.375" style="76" customWidth="1"/>
    <col min="3" max="3" width="9.875" style="76" customWidth="1"/>
    <col min="4" max="4" width="13.125" style="77" customWidth="1"/>
    <col min="5" max="5" width="11.875" style="77" customWidth="1"/>
    <col min="6" max="6" width="15.125" style="81" customWidth="1"/>
    <col min="7" max="7" width="11.375" style="77" customWidth="1"/>
    <col min="8" max="8" width="11.75390625" style="77" customWidth="1"/>
    <col min="9" max="9" width="11.125" style="77" customWidth="1"/>
    <col min="10" max="10" width="11.375" style="77" customWidth="1"/>
    <col min="11" max="11" width="10.00390625" style="77" customWidth="1"/>
    <col min="12" max="12" width="11.25390625" style="77" customWidth="1"/>
    <col min="13" max="13" width="9.75390625" style="77" customWidth="1"/>
    <col min="14" max="14" width="11.375" style="77" customWidth="1"/>
    <col min="15" max="15" width="18.75390625" style="76" customWidth="1"/>
    <col min="16" max="16" width="13.875" style="76" customWidth="1"/>
    <col min="17" max="17" width="14.875" style="76" customWidth="1"/>
    <col min="18" max="18" width="15.75390625" style="76" customWidth="1"/>
    <col min="19" max="19" width="12.25390625" style="76" customWidth="1"/>
    <col min="20" max="20" width="9.875" style="76" customWidth="1"/>
    <col min="21" max="22" width="9.875" style="149" customWidth="1"/>
    <col min="23" max="23" width="7.375" style="149" customWidth="1"/>
    <col min="24" max="24" width="11.375" style="149" customWidth="1"/>
    <col min="25" max="25" width="15.125" style="149" customWidth="1"/>
    <col min="26" max="16384" width="9.125" style="149" customWidth="1"/>
  </cols>
  <sheetData>
    <row r="1" ht="12.75" hidden="1">
      <c r="F1" s="78" t="s">
        <v>76</v>
      </c>
    </row>
    <row r="2" ht="12.75" hidden="1">
      <c r="F2" s="78" t="s">
        <v>114</v>
      </c>
    </row>
    <row r="3" ht="12.75" hidden="1">
      <c r="F3" s="79"/>
    </row>
    <row r="4" spans="5:6" ht="12.75" hidden="1">
      <c r="E4" s="80"/>
      <c r="F4" s="79" t="s">
        <v>77</v>
      </c>
    </row>
    <row r="5" ht="12.75" hidden="1"/>
    <row r="6" ht="12.75"/>
    <row r="7" spans="1:20" s="614" customFormat="1" ht="36.75" customHeight="1" thickBot="1">
      <c r="A7" s="995" t="s">
        <v>360</v>
      </c>
      <c r="B7" s="996"/>
      <c r="C7" s="996"/>
      <c r="D7" s="996"/>
      <c r="E7" s="996"/>
      <c r="F7" s="997"/>
      <c r="G7" s="996"/>
      <c r="H7" s="996"/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996"/>
      <c r="T7" s="82"/>
    </row>
    <row r="8" spans="1:20" s="614" customFormat="1" ht="15" customHeight="1" thickBot="1">
      <c r="A8" s="993" t="s">
        <v>236</v>
      </c>
      <c r="B8" s="1000" t="s">
        <v>574</v>
      </c>
      <c r="C8" s="1009" t="s">
        <v>309</v>
      </c>
      <c r="D8" s="991" t="s">
        <v>746</v>
      </c>
      <c r="E8" s="1007" t="s">
        <v>304</v>
      </c>
      <c r="F8" s="1008"/>
      <c r="G8" s="1016" t="s">
        <v>589</v>
      </c>
      <c r="H8" s="1016"/>
      <c r="I8" s="1016"/>
      <c r="J8" s="1016"/>
      <c r="K8" s="1016"/>
      <c r="L8" s="1016"/>
      <c r="M8" s="1016"/>
      <c r="N8" s="1016"/>
      <c r="O8" s="1013" t="s">
        <v>310</v>
      </c>
      <c r="P8" s="1019" t="s">
        <v>149</v>
      </c>
      <c r="Q8" s="1004" t="s">
        <v>655</v>
      </c>
      <c r="R8" s="1004" t="s">
        <v>656</v>
      </c>
      <c r="S8" s="1002" t="s">
        <v>587</v>
      </c>
      <c r="T8" s="82"/>
    </row>
    <row r="9" spans="1:20" s="614" customFormat="1" ht="17.25" customHeight="1">
      <c r="A9" s="994"/>
      <c r="B9" s="1001"/>
      <c r="C9" s="992"/>
      <c r="D9" s="992"/>
      <c r="E9" s="985" t="s">
        <v>305</v>
      </c>
      <c r="F9" s="990" t="s">
        <v>654</v>
      </c>
      <c r="G9" s="998" t="s">
        <v>306</v>
      </c>
      <c r="H9" s="999"/>
      <c r="I9" s="1017" t="s">
        <v>307</v>
      </c>
      <c r="J9" s="1018"/>
      <c r="K9" s="1011" t="s">
        <v>308</v>
      </c>
      <c r="L9" s="1012"/>
      <c r="M9" s="1022" t="s">
        <v>190</v>
      </c>
      <c r="N9" s="1023"/>
      <c r="O9" s="1014"/>
      <c r="P9" s="1020"/>
      <c r="Q9" s="1005"/>
      <c r="R9" s="1005"/>
      <c r="S9" s="1003"/>
      <c r="T9" s="82"/>
    </row>
    <row r="10" spans="1:20" s="614" customFormat="1" ht="26.25" customHeight="1">
      <c r="A10" s="994"/>
      <c r="B10" s="1001"/>
      <c r="C10" s="992"/>
      <c r="D10" s="992"/>
      <c r="E10" s="985"/>
      <c r="F10" s="990"/>
      <c r="G10" s="985" t="s">
        <v>305</v>
      </c>
      <c r="H10" s="986" t="s">
        <v>654</v>
      </c>
      <c r="I10" s="985" t="s">
        <v>305</v>
      </c>
      <c r="J10" s="986" t="s">
        <v>654</v>
      </c>
      <c r="K10" s="1010" t="s">
        <v>305</v>
      </c>
      <c r="L10" s="986" t="s">
        <v>654</v>
      </c>
      <c r="M10" s="985" t="s">
        <v>305</v>
      </c>
      <c r="N10" s="986" t="s">
        <v>654</v>
      </c>
      <c r="O10" s="1015"/>
      <c r="P10" s="1021"/>
      <c r="Q10" s="1006"/>
      <c r="R10" s="1006"/>
      <c r="S10" s="1003"/>
      <c r="T10" s="82"/>
    </row>
    <row r="11" spans="1:22" s="614" customFormat="1" ht="40.5" customHeight="1">
      <c r="A11" s="994"/>
      <c r="B11" s="1001"/>
      <c r="C11" s="992"/>
      <c r="D11" s="992"/>
      <c r="E11" s="985"/>
      <c r="F11" s="990"/>
      <c r="G11" s="985"/>
      <c r="H11" s="986"/>
      <c r="I11" s="985"/>
      <c r="J11" s="986"/>
      <c r="K11" s="1010"/>
      <c r="L11" s="986"/>
      <c r="M11" s="985"/>
      <c r="N11" s="986"/>
      <c r="O11" s="633"/>
      <c r="P11" s="411"/>
      <c r="Q11" s="84"/>
      <c r="R11" s="84"/>
      <c r="S11" s="83"/>
      <c r="T11" s="82"/>
      <c r="V11" s="615"/>
    </row>
    <row r="12" spans="1:22" s="614" customFormat="1" ht="14.25" customHeight="1">
      <c r="A12" s="408" t="s">
        <v>749</v>
      </c>
      <c r="B12" s="400">
        <v>2</v>
      </c>
      <c r="C12" s="400">
        <v>3</v>
      </c>
      <c r="D12" s="401">
        <v>4</v>
      </c>
      <c r="E12" s="402">
        <v>5</v>
      </c>
      <c r="F12" s="441">
        <v>6</v>
      </c>
      <c r="G12" s="402">
        <v>7</v>
      </c>
      <c r="H12" s="403">
        <v>8</v>
      </c>
      <c r="I12" s="402">
        <v>9</v>
      </c>
      <c r="J12" s="403">
        <v>10</v>
      </c>
      <c r="K12" s="409">
        <v>11</v>
      </c>
      <c r="L12" s="403">
        <v>12</v>
      </c>
      <c r="M12" s="402">
        <v>13</v>
      </c>
      <c r="N12" s="403">
        <v>14</v>
      </c>
      <c r="O12" s="634">
        <v>15</v>
      </c>
      <c r="P12" s="800">
        <v>16</v>
      </c>
      <c r="Q12" s="410">
        <v>17</v>
      </c>
      <c r="R12" s="410">
        <v>18</v>
      </c>
      <c r="S12" s="404">
        <v>19</v>
      </c>
      <c r="T12" s="82"/>
      <c r="V12" s="615"/>
    </row>
    <row r="13" spans="1:19" ht="13.5" customHeight="1">
      <c r="A13" s="85" t="s">
        <v>148</v>
      </c>
      <c r="B13" s="86"/>
      <c r="C13" s="86"/>
      <c r="D13" s="413"/>
      <c r="E13" s="284"/>
      <c r="F13" s="442"/>
      <c r="G13" s="87"/>
      <c r="H13" s="375"/>
      <c r="I13" s="284"/>
      <c r="J13" s="185"/>
      <c r="K13" s="655"/>
      <c r="L13" s="375"/>
      <c r="M13" s="284"/>
      <c r="N13" s="185"/>
      <c r="O13" s="635"/>
      <c r="P13" s="284"/>
      <c r="Q13" s="86"/>
      <c r="R13" s="86"/>
      <c r="S13" s="88"/>
    </row>
    <row r="14" spans="1:19" s="96" customFormat="1" ht="30" customHeight="1">
      <c r="A14" s="89" t="s">
        <v>582</v>
      </c>
      <c r="B14" s="90" t="s">
        <v>657</v>
      </c>
      <c r="C14" s="91"/>
      <c r="D14" s="414"/>
      <c r="E14" s="443"/>
      <c r="F14" s="444"/>
      <c r="G14" s="93"/>
      <c r="H14" s="92"/>
      <c r="I14" s="660"/>
      <c r="J14" s="661"/>
      <c r="K14" s="369"/>
      <c r="L14" s="92"/>
      <c r="M14" s="660"/>
      <c r="N14" s="661"/>
      <c r="O14" s="636"/>
      <c r="P14" s="801"/>
      <c r="Q14" s="470"/>
      <c r="R14" s="94"/>
      <c r="S14" s="95"/>
    </row>
    <row r="15" spans="1:19" s="96" customFormat="1" ht="30" customHeight="1">
      <c r="A15" s="103" t="s">
        <v>610</v>
      </c>
      <c r="B15" s="97" t="s">
        <v>460</v>
      </c>
      <c r="C15" s="91"/>
      <c r="D15" s="414"/>
      <c r="E15" s="443"/>
      <c r="F15" s="444"/>
      <c r="G15" s="93"/>
      <c r="H15" s="92"/>
      <c r="I15" s="660"/>
      <c r="J15" s="661"/>
      <c r="K15" s="369"/>
      <c r="L15" s="92"/>
      <c r="M15" s="660"/>
      <c r="N15" s="661"/>
      <c r="O15" s="636"/>
      <c r="P15" s="801"/>
      <c r="Q15" s="470"/>
      <c r="R15" s="94"/>
      <c r="S15" s="95"/>
    </row>
    <row r="16" spans="1:19" s="96" customFormat="1" ht="18.75" customHeight="1">
      <c r="A16" s="89"/>
      <c r="B16" s="641" t="s">
        <v>598</v>
      </c>
      <c r="C16" s="91"/>
      <c r="D16" s="414"/>
      <c r="E16" s="443"/>
      <c r="F16" s="444"/>
      <c r="G16" s="93"/>
      <c r="H16" s="92"/>
      <c r="I16" s="660"/>
      <c r="J16" s="661"/>
      <c r="K16" s="369"/>
      <c r="L16" s="92"/>
      <c r="M16" s="660"/>
      <c r="N16" s="661"/>
      <c r="O16" s="636"/>
      <c r="P16" s="801"/>
      <c r="Q16" s="470"/>
      <c r="R16" s="94"/>
      <c r="S16" s="95"/>
    </row>
    <row r="17" spans="1:19" s="96" customFormat="1" ht="30" customHeight="1">
      <c r="A17" s="89" t="s">
        <v>660</v>
      </c>
      <c r="B17" s="90" t="s">
        <v>461</v>
      </c>
      <c r="C17" s="91" t="s">
        <v>312</v>
      </c>
      <c r="D17" s="414"/>
      <c r="E17" s="443"/>
      <c r="F17" s="110">
        <v>897.16</v>
      </c>
      <c r="G17" s="93"/>
      <c r="H17" s="92"/>
      <c r="I17" s="660"/>
      <c r="J17" s="220">
        <f>F17</f>
        <v>897.16</v>
      </c>
      <c r="K17" s="369"/>
      <c r="L17" s="92"/>
      <c r="M17" s="660"/>
      <c r="N17" s="661"/>
      <c r="O17" s="851" t="s">
        <v>571</v>
      </c>
      <c r="P17" s="801"/>
      <c r="Q17" s="94" t="s">
        <v>205</v>
      </c>
      <c r="R17" s="275" t="s">
        <v>490</v>
      </c>
      <c r="S17" s="95"/>
    </row>
    <row r="18" spans="1:19" s="96" customFormat="1" ht="10.5" customHeight="1">
      <c r="A18" s="89"/>
      <c r="B18" s="642" t="s">
        <v>462</v>
      </c>
      <c r="C18" s="643"/>
      <c r="D18" s="644"/>
      <c r="E18" s="645"/>
      <c r="F18" s="281">
        <f>SUM(F17:F17)</f>
        <v>897.16</v>
      </c>
      <c r="G18" s="646"/>
      <c r="H18" s="281">
        <f>H17</f>
        <v>0</v>
      </c>
      <c r="I18" s="646"/>
      <c r="J18" s="101">
        <f>J17</f>
        <v>897.16</v>
      </c>
      <c r="K18" s="280"/>
      <c r="L18" s="281">
        <f>L17</f>
        <v>0</v>
      </c>
      <c r="M18" s="646"/>
      <c r="N18" s="101">
        <f>SUM(N17)</f>
        <v>0</v>
      </c>
      <c r="O18" s="792"/>
      <c r="P18" s="801"/>
      <c r="Q18" s="470"/>
      <c r="R18" s="94"/>
      <c r="S18" s="95"/>
    </row>
    <row r="19" spans="1:19" s="96" customFormat="1" ht="14.25" customHeight="1">
      <c r="A19" s="89"/>
      <c r="B19" s="102" t="s">
        <v>463</v>
      </c>
      <c r="C19" s="647"/>
      <c r="D19" s="648"/>
      <c r="E19" s="649"/>
      <c r="F19" s="390">
        <f>F18</f>
        <v>897.16</v>
      </c>
      <c r="G19" s="650"/>
      <c r="H19" s="390">
        <f>H18</f>
        <v>0</v>
      </c>
      <c r="I19" s="651"/>
      <c r="J19" s="359">
        <f>J18</f>
        <v>897.16</v>
      </c>
      <c r="K19" s="656"/>
      <c r="L19" s="390">
        <f>L18</f>
        <v>0</v>
      </c>
      <c r="M19" s="651"/>
      <c r="N19" s="359">
        <f>N18</f>
        <v>0</v>
      </c>
      <c r="O19" s="792"/>
      <c r="P19" s="801"/>
      <c r="Q19" s="470"/>
      <c r="R19" s="94"/>
      <c r="S19" s="95"/>
    </row>
    <row r="20" spans="1:19" s="96" customFormat="1" ht="24" customHeight="1">
      <c r="A20" s="103" t="s">
        <v>611</v>
      </c>
      <c r="B20" s="97" t="s">
        <v>730</v>
      </c>
      <c r="C20" s="104"/>
      <c r="D20" s="415"/>
      <c r="E20" s="445"/>
      <c r="F20" s="446"/>
      <c r="G20" s="93"/>
      <c r="H20" s="92"/>
      <c r="I20" s="93"/>
      <c r="J20" s="92"/>
      <c r="K20" s="369"/>
      <c r="L20" s="92"/>
      <c r="M20" s="93"/>
      <c r="N20" s="92"/>
      <c r="O20" s="792"/>
      <c r="P20" s="801"/>
      <c r="Q20" s="470"/>
      <c r="R20" s="94"/>
      <c r="S20" s="95"/>
    </row>
    <row r="21" spans="1:19" s="96" customFormat="1" ht="15" customHeight="1">
      <c r="A21" s="89" t="s">
        <v>725</v>
      </c>
      <c r="B21" s="105" t="s">
        <v>311</v>
      </c>
      <c r="C21" s="104"/>
      <c r="D21" s="415"/>
      <c r="E21" s="109"/>
      <c r="F21" s="446"/>
      <c r="G21" s="93"/>
      <c r="H21" s="92"/>
      <c r="I21" s="93"/>
      <c r="J21" s="92"/>
      <c r="K21" s="369"/>
      <c r="L21" s="92"/>
      <c r="M21" s="93"/>
      <c r="N21" s="92"/>
      <c r="O21" s="791"/>
      <c r="P21" s="801"/>
      <c r="Q21" s="470"/>
      <c r="R21" s="94"/>
      <c r="S21" s="95"/>
    </row>
    <row r="22" spans="1:19" s="96" customFormat="1" ht="34.5" customHeight="1">
      <c r="A22" s="120" t="s">
        <v>749</v>
      </c>
      <c r="B22" s="107" t="s">
        <v>552</v>
      </c>
      <c r="C22" s="108" t="s">
        <v>312</v>
      </c>
      <c r="D22" s="110"/>
      <c r="E22" s="109"/>
      <c r="F22" s="100">
        <v>1870.636</v>
      </c>
      <c r="G22" s="109"/>
      <c r="H22" s="100">
        <v>1870.64</v>
      </c>
      <c r="I22" s="109"/>
      <c r="J22" s="100"/>
      <c r="K22" s="99"/>
      <c r="L22" s="100"/>
      <c r="M22" s="109"/>
      <c r="N22" s="100"/>
      <c r="O22" s="851" t="s">
        <v>571</v>
      </c>
      <c r="P22" s="801" t="s">
        <v>572</v>
      </c>
      <c r="Q22" s="471" t="s">
        <v>496</v>
      </c>
      <c r="R22" s="94" t="s">
        <v>120</v>
      </c>
      <c r="S22" s="95"/>
    </row>
    <row r="23" spans="1:19" s="96" customFormat="1" ht="34.5" customHeight="1">
      <c r="A23" s="120" t="s">
        <v>782</v>
      </c>
      <c r="B23" s="107" t="s">
        <v>516</v>
      </c>
      <c r="C23" s="108" t="s">
        <v>312</v>
      </c>
      <c r="D23" s="110">
        <v>261.275</v>
      </c>
      <c r="E23" s="109">
        <v>10.58</v>
      </c>
      <c r="F23" s="100">
        <v>3294.612</v>
      </c>
      <c r="G23" s="109">
        <f>H23/D23</f>
        <v>3.8273849392402646</v>
      </c>
      <c r="H23" s="100">
        <v>1000</v>
      </c>
      <c r="I23" s="109">
        <v>6.75</v>
      </c>
      <c r="J23" s="100">
        <v>2294.61</v>
      </c>
      <c r="K23" s="99"/>
      <c r="L23" s="100"/>
      <c r="M23" s="109"/>
      <c r="N23" s="100"/>
      <c r="O23" s="851" t="s">
        <v>571</v>
      </c>
      <c r="P23" s="801" t="s">
        <v>572</v>
      </c>
      <c r="Q23" s="471" t="s">
        <v>496</v>
      </c>
      <c r="R23" s="94" t="s">
        <v>121</v>
      </c>
      <c r="S23" s="95"/>
    </row>
    <row r="24" spans="1:19" s="96" customFormat="1" ht="12.75" customHeight="1">
      <c r="A24" s="114"/>
      <c r="B24" s="115" t="s">
        <v>405</v>
      </c>
      <c r="C24" s="116"/>
      <c r="D24" s="416"/>
      <c r="E24" s="447"/>
      <c r="F24" s="101">
        <f>SUM(F22:F23)</f>
        <v>5165.248</v>
      </c>
      <c r="G24" s="285"/>
      <c r="H24" s="161">
        <f aca="true" t="shared" si="0" ref="H24:N24">SUM(H22:H23)</f>
        <v>2870.6400000000003</v>
      </c>
      <c r="I24" s="285"/>
      <c r="J24" s="161">
        <f>SUM(J22:J23)</f>
        <v>2294.61</v>
      </c>
      <c r="K24" s="370"/>
      <c r="L24" s="161">
        <f t="shared" si="0"/>
        <v>0</v>
      </c>
      <c r="M24" s="285"/>
      <c r="N24" s="161">
        <f t="shared" si="0"/>
        <v>0</v>
      </c>
      <c r="O24" s="851"/>
      <c r="P24" s="801"/>
      <c r="Q24" s="471"/>
      <c r="R24" s="94"/>
      <c r="S24" s="95"/>
    </row>
    <row r="25" spans="1:19" s="96" customFormat="1" ht="15" customHeight="1">
      <c r="A25" s="89" t="s">
        <v>726</v>
      </c>
      <c r="B25" s="105" t="s">
        <v>598</v>
      </c>
      <c r="C25" s="104"/>
      <c r="D25" s="415"/>
      <c r="E25" s="445"/>
      <c r="F25" s="446"/>
      <c r="G25" s="109"/>
      <c r="H25" s="100"/>
      <c r="I25" s="109"/>
      <c r="J25" s="100"/>
      <c r="K25" s="99"/>
      <c r="L25" s="100"/>
      <c r="M25" s="109"/>
      <c r="N25" s="100"/>
      <c r="O25" s="851"/>
      <c r="P25" s="801"/>
      <c r="Q25" s="471"/>
      <c r="R25" s="94"/>
      <c r="S25" s="95"/>
    </row>
    <row r="26" spans="1:19" s="113" customFormat="1" ht="30" customHeight="1">
      <c r="A26" s="120" t="s">
        <v>749</v>
      </c>
      <c r="B26" s="107" t="s">
        <v>160</v>
      </c>
      <c r="C26" s="606" t="s">
        <v>312</v>
      </c>
      <c r="D26" s="163">
        <f>F26/E26</f>
        <v>258.69975031210987</v>
      </c>
      <c r="E26" s="282">
        <v>16.02</v>
      </c>
      <c r="F26" s="100">
        <v>4144.37</v>
      </c>
      <c r="G26" s="109"/>
      <c r="H26" s="100"/>
      <c r="I26" s="325"/>
      <c r="J26" s="220"/>
      <c r="K26" s="99"/>
      <c r="L26" s="100"/>
      <c r="M26" s="325">
        <v>16.02</v>
      </c>
      <c r="N26" s="220">
        <f>M26*D26</f>
        <v>4144.37</v>
      </c>
      <c r="O26" s="851" t="s">
        <v>571</v>
      </c>
      <c r="P26" s="801" t="s">
        <v>572</v>
      </c>
      <c r="Q26" s="471" t="s">
        <v>347</v>
      </c>
      <c r="R26" s="111" t="s">
        <v>122</v>
      </c>
      <c r="S26" s="112"/>
    </row>
    <row r="27" spans="1:20" s="96" customFormat="1" ht="12.75" customHeight="1">
      <c r="A27" s="296"/>
      <c r="B27" s="115" t="s">
        <v>406</v>
      </c>
      <c r="C27" s="116"/>
      <c r="D27" s="416"/>
      <c r="E27" s="447"/>
      <c r="F27" s="101">
        <f>F26</f>
        <v>4144.37</v>
      </c>
      <c r="G27" s="118"/>
      <c r="H27" s="101">
        <f>H26</f>
        <v>0</v>
      </c>
      <c r="I27" s="118"/>
      <c r="J27" s="101">
        <f>J26</f>
        <v>0</v>
      </c>
      <c r="K27" s="117"/>
      <c r="L27" s="101">
        <f>L26</f>
        <v>0</v>
      </c>
      <c r="M27" s="118"/>
      <c r="N27" s="101">
        <f>N26</f>
        <v>4144.37</v>
      </c>
      <c r="O27" s="851"/>
      <c r="P27" s="802"/>
      <c r="Q27" s="472"/>
      <c r="R27" s="293"/>
      <c r="S27" s="294"/>
      <c r="T27" s="295"/>
    </row>
    <row r="28" spans="1:20" s="96" customFormat="1" ht="12.75" customHeight="1">
      <c r="A28" s="351" t="s">
        <v>397</v>
      </c>
      <c r="B28" s="350" t="s">
        <v>115</v>
      </c>
      <c r="C28" s="297"/>
      <c r="D28" s="417"/>
      <c r="E28" s="448"/>
      <c r="F28" s="292"/>
      <c r="G28" s="282"/>
      <c r="H28" s="292"/>
      <c r="I28" s="282"/>
      <c r="J28" s="292"/>
      <c r="K28" s="163"/>
      <c r="L28" s="292"/>
      <c r="M28" s="282"/>
      <c r="N28" s="292"/>
      <c r="O28" s="851"/>
      <c r="P28" s="802"/>
      <c r="Q28" s="472"/>
      <c r="R28" s="293"/>
      <c r="S28" s="294"/>
      <c r="T28" s="295"/>
    </row>
    <row r="29" spans="1:20" s="96" customFormat="1" ht="30" customHeight="1">
      <c r="A29" s="298" t="s">
        <v>749</v>
      </c>
      <c r="B29" s="107" t="s">
        <v>569</v>
      </c>
      <c r="C29" s="170" t="s">
        <v>312</v>
      </c>
      <c r="D29" s="299">
        <v>102.82</v>
      </c>
      <c r="E29" s="282">
        <v>6.04</v>
      </c>
      <c r="F29" s="100">
        <f>E29*D29</f>
        <v>621.0328</v>
      </c>
      <c r="G29" s="282"/>
      <c r="H29" s="300"/>
      <c r="I29" s="282"/>
      <c r="J29" s="292"/>
      <c r="K29" s="163"/>
      <c r="L29" s="300"/>
      <c r="M29" s="282">
        <v>6.04</v>
      </c>
      <c r="N29" s="300">
        <f>M29*D29</f>
        <v>621.0328</v>
      </c>
      <c r="O29" s="851" t="s">
        <v>571</v>
      </c>
      <c r="P29" s="802" t="s">
        <v>572</v>
      </c>
      <c r="Q29" s="471" t="s">
        <v>530</v>
      </c>
      <c r="R29" s="293" t="s">
        <v>491</v>
      </c>
      <c r="S29" s="294"/>
      <c r="T29" s="295"/>
    </row>
    <row r="30" spans="1:20" s="96" customFormat="1" ht="26.25" customHeight="1">
      <c r="A30" s="298" t="s">
        <v>782</v>
      </c>
      <c r="B30" s="354" t="s">
        <v>167</v>
      </c>
      <c r="C30" s="170" t="s">
        <v>312</v>
      </c>
      <c r="D30" s="299">
        <v>143</v>
      </c>
      <c r="E30" s="282">
        <v>0.23</v>
      </c>
      <c r="F30" s="847">
        <f>D30*E30</f>
        <v>32.89</v>
      </c>
      <c r="G30" s="282"/>
      <c r="H30" s="292"/>
      <c r="I30" s="282"/>
      <c r="J30" s="292"/>
      <c r="K30" s="163">
        <v>0.23</v>
      </c>
      <c r="L30" s="300">
        <v>32.89</v>
      </c>
      <c r="M30" s="282"/>
      <c r="N30" s="300"/>
      <c r="O30" s="851" t="s">
        <v>602</v>
      </c>
      <c r="P30" s="802" t="s">
        <v>572</v>
      </c>
      <c r="Q30" s="471" t="s">
        <v>348</v>
      </c>
      <c r="R30" s="293" t="s">
        <v>123</v>
      </c>
      <c r="S30" s="294"/>
      <c r="T30" s="295"/>
    </row>
    <row r="31" spans="1:20" s="96" customFormat="1" ht="40.5" customHeight="1">
      <c r="A31" s="298" t="s">
        <v>783</v>
      </c>
      <c r="B31" s="107" t="s">
        <v>0</v>
      </c>
      <c r="C31" s="170"/>
      <c r="D31" s="299"/>
      <c r="E31" s="282"/>
      <c r="F31" s="300">
        <v>1711.0464</v>
      </c>
      <c r="G31" s="282"/>
      <c r="H31" s="300">
        <f>F31</f>
        <v>1711.0464</v>
      </c>
      <c r="I31" s="282"/>
      <c r="J31" s="292"/>
      <c r="K31" s="163"/>
      <c r="L31" s="300"/>
      <c r="M31" s="282"/>
      <c r="N31" s="300"/>
      <c r="O31" s="851" t="s">
        <v>605</v>
      </c>
      <c r="P31" s="802"/>
      <c r="Q31" s="471" t="s">
        <v>206</v>
      </c>
      <c r="R31" s="293" t="s">
        <v>124</v>
      </c>
      <c r="S31" s="294"/>
      <c r="T31" s="295"/>
    </row>
    <row r="32" spans="1:20" s="96" customFormat="1" ht="12.75" customHeight="1">
      <c r="A32" s="296"/>
      <c r="B32" s="115" t="s">
        <v>425</v>
      </c>
      <c r="C32" s="116"/>
      <c r="D32" s="416"/>
      <c r="E32" s="285">
        <f>SUM(E29:E31)</f>
        <v>6.2700000000000005</v>
      </c>
      <c r="F32" s="101">
        <f>SUM(F29:F31)</f>
        <v>2364.9692</v>
      </c>
      <c r="G32" s="118"/>
      <c r="H32" s="101">
        <f>SUM(H29:H31)</f>
        <v>1711.0464</v>
      </c>
      <c r="I32" s="118"/>
      <c r="J32" s="101">
        <f>J29+J30</f>
        <v>0</v>
      </c>
      <c r="K32" s="117"/>
      <c r="L32" s="101">
        <f>L29+L30</f>
        <v>32.89</v>
      </c>
      <c r="M32" s="118"/>
      <c r="N32" s="101">
        <f>N29+N30</f>
        <v>621.0328</v>
      </c>
      <c r="O32" s="851"/>
      <c r="P32" s="802"/>
      <c r="Q32" s="472"/>
      <c r="R32" s="293"/>
      <c r="S32" s="294"/>
      <c r="T32" s="295"/>
    </row>
    <row r="33" spans="1:20" s="96" customFormat="1" ht="12.75" customHeight="1">
      <c r="A33" s="351" t="s">
        <v>413</v>
      </c>
      <c r="B33" s="350" t="s">
        <v>658</v>
      </c>
      <c r="C33" s="170"/>
      <c r="D33" s="417"/>
      <c r="E33" s="282"/>
      <c r="F33" s="292"/>
      <c r="G33" s="282"/>
      <c r="H33" s="292"/>
      <c r="I33" s="282"/>
      <c r="J33" s="292"/>
      <c r="K33" s="163"/>
      <c r="L33" s="292"/>
      <c r="M33" s="282"/>
      <c r="N33" s="292"/>
      <c r="O33" s="851"/>
      <c r="P33" s="802"/>
      <c r="Q33" s="472"/>
      <c r="R33" s="293"/>
      <c r="S33" s="294"/>
      <c r="T33" s="295"/>
    </row>
    <row r="34" spans="1:20" s="96" customFormat="1" ht="12.75" customHeight="1">
      <c r="A34" s="352"/>
      <c r="B34" s="293" t="s">
        <v>399</v>
      </c>
      <c r="C34" s="170"/>
      <c r="D34" s="417"/>
      <c r="E34" s="282"/>
      <c r="F34" s="292"/>
      <c r="G34" s="282"/>
      <c r="H34" s="292"/>
      <c r="I34" s="282"/>
      <c r="J34" s="292"/>
      <c r="K34" s="163"/>
      <c r="L34" s="292"/>
      <c r="M34" s="282"/>
      <c r="N34" s="292"/>
      <c r="O34" s="851"/>
      <c r="P34" s="802"/>
      <c r="Q34" s="472"/>
      <c r="R34" s="293"/>
      <c r="S34" s="294"/>
      <c r="T34" s="295"/>
    </row>
    <row r="35" spans="1:20" s="96" customFormat="1" ht="27" customHeight="1">
      <c r="A35" s="298" t="s">
        <v>757</v>
      </c>
      <c r="B35" s="353" t="s">
        <v>400</v>
      </c>
      <c r="C35" s="170" t="s">
        <v>312</v>
      </c>
      <c r="D35" s="299">
        <v>255.379</v>
      </c>
      <c r="E35" s="282">
        <f>F35/D35</f>
        <v>19.370034341116536</v>
      </c>
      <c r="F35" s="100">
        <v>4946.7</v>
      </c>
      <c r="G35" s="282"/>
      <c r="H35" s="300"/>
      <c r="I35" s="282">
        <v>8</v>
      </c>
      <c r="J35" s="100">
        <f>I35*D35</f>
        <v>2043.032</v>
      </c>
      <c r="K35" s="163">
        <v>7.37003</v>
      </c>
      <c r="L35" s="300">
        <f>K35*D35</f>
        <v>1882.15089137</v>
      </c>
      <c r="M35" s="282">
        <v>4</v>
      </c>
      <c r="N35" s="300">
        <f>M35*D35</f>
        <v>1021.516</v>
      </c>
      <c r="O35" s="851" t="s">
        <v>571</v>
      </c>
      <c r="P35" s="802" t="s">
        <v>572</v>
      </c>
      <c r="Q35" s="975" t="s">
        <v>694</v>
      </c>
      <c r="R35" s="982" t="s">
        <v>125</v>
      </c>
      <c r="S35" s="294"/>
      <c r="T35" s="295"/>
    </row>
    <row r="36" spans="1:20" s="96" customFormat="1" ht="26.25" customHeight="1">
      <c r="A36" s="298" t="s">
        <v>759</v>
      </c>
      <c r="B36" s="353" t="s">
        <v>401</v>
      </c>
      <c r="C36" s="170" t="s">
        <v>312</v>
      </c>
      <c r="D36" s="299">
        <v>243.078</v>
      </c>
      <c r="E36" s="282">
        <f>F36/D36</f>
        <v>8.994207620599148</v>
      </c>
      <c r="F36" s="100">
        <f>3404.38+595.27-542.96-26.616-1224.98-31+12+0.2</f>
        <v>2186.294</v>
      </c>
      <c r="G36" s="282"/>
      <c r="H36" s="300"/>
      <c r="I36" s="282">
        <v>2.9943</v>
      </c>
      <c r="J36" s="300">
        <f>I36*D36</f>
        <v>727.8484554</v>
      </c>
      <c r="K36" s="163">
        <v>2.9999</v>
      </c>
      <c r="L36" s="300">
        <f>K36*D36</f>
        <v>729.2096922</v>
      </c>
      <c r="M36" s="282">
        <v>3</v>
      </c>
      <c r="N36" s="300">
        <f>M36*D36</f>
        <v>729.234</v>
      </c>
      <c r="O36" s="851" t="s">
        <v>571</v>
      </c>
      <c r="P36" s="802" t="s">
        <v>572</v>
      </c>
      <c r="Q36" s="976"/>
      <c r="R36" s="983"/>
      <c r="S36" s="294"/>
      <c r="T36" s="295"/>
    </row>
    <row r="37" spans="1:20" s="96" customFormat="1" ht="27" customHeight="1">
      <c r="A37" s="298" t="s">
        <v>534</v>
      </c>
      <c r="B37" s="353" t="s">
        <v>402</v>
      </c>
      <c r="C37" s="170" t="s">
        <v>312</v>
      </c>
      <c r="D37" s="299">
        <v>261</v>
      </c>
      <c r="E37" s="282">
        <f>F37/D37</f>
        <v>8.83455938697318</v>
      </c>
      <c r="F37" s="100">
        <f>915.46+1390.36</f>
        <v>2305.8199999999997</v>
      </c>
      <c r="G37" s="682"/>
      <c r="H37" s="300"/>
      <c r="I37" s="282"/>
      <c r="J37" s="292"/>
      <c r="K37" s="163">
        <v>8.83</v>
      </c>
      <c r="L37" s="300">
        <v>2305.82</v>
      </c>
      <c r="M37" s="282"/>
      <c r="N37" s="300"/>
      <c r="O37" s="851" t="s">
        <v>571</v>
      </c>
      <c r="P37" s="802" t="s">
        <v>572</v>
      </c>
      <c r="Q37" s="976"/>
      <c r="R37" s="293" t="s">
        <v>129</v>
      </c>
      <c r="S37" s="294"/>
      <c r="T37" s="295"/>
    </row>
    <row r="38" spans="1:20" s="96" customFormat="1" ht="32.25" customHeight="1">
      <c r="A38" s="298" t="s">
        <v>535</v>
      </c>
      <c r="B38" s="353" t="s">
        <v>403</v>
      </c>
      <c r="C38" s="170" t="s">
        <v>312</v>
      </c>
      <c r="D38" s="299">
        <v>253.437</v>
      </c>
      <c r="E38" s="282">
        <v>10.775</v>
      </c>
      <c r="F38" s="100">
        <f>E38*D38</f>
        <v>2730.783675</v>
      </c>
      <c r="G38" s="282"/>
      <c r="H38" s="292"/>
      <c r="I38" s="282"/>
      <c r="J38" s="292"/>
      <c r="K38" s="163">
        <v>5</v>
      </c>
      <c r="L38" s="300">
        <f>K38*D38</f>
        <v>1267.185</v>
      </c>
      <c r="M38" s="282">
        <v>5.775</v>
      </c>
      <c r="N38" s="300">
        <f>M38*D38</f>
        <v>1463.5986750000002</v>
      </c>
      <c r="O38" s="851" t="s">
        <v>571</v>
      </c>
      <c r="P38" s="802" t="s">
        <v>572</v>
      </c>
      <c r="Q38" s="976"/>
      <c r="R38" s="293" t="s">
        <v>125</v>
      </c>
      <c r="S38" s="294"/>
      <c r="T38" s="295"/>
    </row>
    <row r="39" spans="1:20" s="96" customFormat="1" ht="72" customHeight="1">
      <c r="A39" s="298" t="s">
        <v>517</v>
      </c>
      <c r="B39" s="123" t="s">
        <v>518</v>
      </c>
      <c r="C39" s="170" t="s">
        <v>312</v>
      </c>
      <c r="D39" s="299">
        <v>241.59</v>
      </c>
      <c r="E39" s="282">
        <v>11.1101120874388</v>
      </c>
      <c r="F39" s="847">
        <v>2684.0919792043396</v>
      </c>
      <c r="G39" s="282"/>
      <c r="H39" s="300"/>
      <c r="I39" s="282"/>
      <c r="J39" s="292"/>
      <c r="K39" s="163">
        <f>E39</f>
        <v>11.1101120874388</v>
      </c>
      <c r="L39" s="300">
        <f>F39</f>
        <v>2684.0919792043396</v>
      </c>
      <c r="M39" s="282"/>
      <c r="N39" s="300"/>
      <c r="O39" s="851" t="s">
        <v>799</v>
      </c>
      <c r="P39" s="802" t="s">
        <v>572</v>
      </c>
      <c r="Q39" s="976"/>
      <c r="R39" s="293" t="s">
        <v>126</v>
      </c>
      <c r="S39" s="294"/>
      <c r="T39" s="295"/>
    </row>
    <row r="40" spans="1:20" s="96" customFormat="1" ht="34.5" customHeight="1">
      <c r="A40" s="298" t="s">
        <v>6</v>
      </c>
      <c r="B40" s="123" t="s">
        <v>1</v>
      </c>
      <c r="C40" s="170" t="s">
        <v>312</v>
      </c>
      <c r="D40" s="299">
        <v>189.14</v>
      </c>
      <c r="E40" s="282">
        <v>10.42998308131543</v>
      </c>
      <c r="F40" s="300">
        <v>1972.7270000000003</v>
      </c>
      <c r="G40" s="282">
        <f aca="true" t="shared" si="1" ref="G40:H44">E40</f>
        <v>10.42998308131543</v>
      </c>
      <c r="H40" s="163">
        <f t="shared" si="1"/>
        <v>1972.7270000000003</v>
      </c>
      <c r="I40" s="282"/>
      <c r="J40" s="292"/>
      <c r="K40" s="163"/>
      <c r="L40" s="300"/>
      <c r="M40" s="282"/>
      <c r="N40" s="300"/>
      <c r="O40" s="851" t="s">
        <v>605</v>
      </c>
      <c r="P40" s="802" t="s">
        <v>572</v>
      </c>
      <c r="Q40" s="976"/>
      <c r="R40" s="293" t="s">
        <v>127</v>
      </c>
      <c r="S40" s="294"/>
      <c r="T40" s="295"/>
    </row>
    <row r="41" spans="1:20" s="96" customFormat="1" ht="25.5" customHeight="1">
      <c r="A41" s="298" t="s">
        <v>7</v>
      </c>
      <c r="B41" s="123" t="s">
        <v>2</v>
      </c>
      <c r="C41" s="170" t="s">
        <v>312</v>
      </c>
      <c r="D41" s="299">
        <v>261.798</v>
      </c>
      <c r="E41" s="282">
        <v>0.6217839708477523</v>
      </c>
      <c r="F41" s="300">
        <v>162.78179999999986</v>
      </c>
      <c r="G41" s="282">
        <f t="shared" si="1"/>
        <v>0.6217839708477523</v>
      </c>
      <c r="H41" s="163">
        <f t="shared" si="1"/>
        <v>162.78179999999986</v>
      </c>
      <c r="I41" s="282"/>
      <c r="J41" s="292"/>
      <c r="K41" s="163"/>
      <c r="L41" s="300"/>
      <c r="M41" s="282"/>
      <c r="N41" s="300"/>
      <c r="O41" s="851" t="s">
        <v>605</v>
      </c>
      <c r="P41" s="802" t="s">
        <v>572</v>
      </c>
      <c r="Q41" s="976"/>
      <c r="R41" s="293" t="s">
        <v>128</v>
      </c>
      <c r="S41" s="294"/>
      <c r="T41" s="295"/>
    </row>
    <row r="42" spans="1:20" s="96" customFormat="1" ht="34.5" customHeight="1">
      <c r="A42" s="298" t="s">
        <v>8</v>
      </c>
      <c r="B42" s="123" t="s">
        <v>3</v>
      </c>
      <c r="C42" s="170" t="s">
        <v>312</v>
      </c>
      <c r="D42" s="299">
        <v>251.1</v>
      </c>
      <c r="E42" s="282">
        <v>2.46700119474313</v>
      </c>
      <c r="F42" s="300">
        <v>619.4639999999999</v>
      </c>
      <c r="G42" s="282">
        <f t="shared" si="1"/>
        <v>2.46700119474313</v>
      </c>
      <c r="H42" s="163">
        <f t="shared" si="1"/>
        <v>619.4639999999999</v>
      </c>
      <c r="I42" s="282"/>
      <c r="J42" s="292"/>
      <c r="K42" s="163"/>
      <c r="L42" s="300"/>
      <c r="M42" s="282"/>
      <c r="N42" s="300"/>
      <c r="O42" s="851" t="s">
        <v>605</v>
      </c>
      <c r="P42" s="802" t="s">
        <v>572</v>
      </c>
      <c r="Q42" s="976"/>
      <c r="R42" s="982" t="s">
        <v>492</v>
      </c>
      <c r="S42" s="294"/>
      <c r="T42" s="295"/>
    </row>
    <row r="43" spans="1:20" s="96" customFormat="1" ht="26.25" customHeight="1">
      <c r="A43" s="298" t="s">
        <v>9</v>
      </c>
      <c r="B43" s="123" t="s">
        <v>4</v>
      </c>
      <c r="C43" s="170" t="s">
        <v>312</v>
      </c>
      <c r="D43" s="299">
        <v>258.19</v>
      </c>
      <c r="E43" s="282">
        <v>2.2365976606375146</v>
      </c>
      <c r="F43" s="300">
        <v>577.46715</v>
      </c>
      <c r="G43" s="282">
        <f t="shared" si="1"/>
        <v>2.2365976606375146</v>
      </c>
      <c r="H43" s="163">
        <f t="shared" si="1"/>
        <v>577.46715</v>
      </c>
      <c r="I43" s="282"/>
      <c r="J43" s="292"/>
      <c r="K43" s="163"/>
      <c r="L43" s="300"/>
      <c r="M43" s="282"/>
      <c r="N43" s="300"/>
      <c r="O43" s="851" t="s">
        <v>605</v>
      </c>
      <c r="P43" s="802" t="s">
        <v>572</v>
      </c>
      <c r="Q43" s="976"/>
      <c r="R43" s="984"/>
      <c r="S43" s="294"/>
      <c r="T43" s="295"/>
    </row>
    <row r="44" spans="1:20" s="96" customFormat="1" ht="28.5" customHeight="1">
      <c r="A44" s="298" t="s">
        <v>10</v>
      </c>
      <c r="B44" s="123" t="s">
        <v>5</v>
      </c>
      <c r="C44" s="170" t="s">
        <v>312</v>
      </c>
      <c r="D44" s="299">
        <v>251.87</v>
      </c>
      <c r="E44" s="282">
        <v>1.5824830269583514</v>
      </c>
      <c r="F44" s="300">
        <v>398.58</v>
      </c>
      <c r="G44" s="282">
        <f t="shared" si="1"/>
        <v>1.5824830269583514</v>
      </c>
      <c r="H44" s="163">
        <f t="shared" si="1"/>
        <v>398.58</v>
      </c>
      <c r="I44" s="282"/>
      <c r="J44" s="292"/>
      <c r="K44" s="163"/>
      <c r="L44" s="300"/>
      <c r="M44" s="282"/>
      <c r="N44" s="300"/>
      <c r="O44" s="851" t="s">
        <v>605</v>
      </c>
      <c r="P44" s="802" t="s">
        <v>572</v>
      </c>
      <c r="Q44" s="977"/>
      <c r="R44" s="983"/>
      <c r="S44" s="294"/>
      <c r="T44" s="295"/>
    </row>
    <row r="45" spans="1:19" s="96" customFormat="1" ht="12.75" customHeight="1">
      <c r="A45" s="114"/>
      <c r="B45" s="115" t="s">
        <v>425</v>
      </c>
      <c r="C45" s="116"/>
      <c r="D45" s="416"/>
      <c r="E45" s="285">
        <f>SUM(E35:E44)</f>
        <v>76.42176237062985</v>
      </c>
      <c r="F45" s="101">
        <f>SUM(F35:F44)</f>
        <v>18584.70960420434</v>
      </c>
      <c r="G45" s="118"/>
      <c r="H45" s="101">
        <f>SUM(H35:H44)</f>
        <v>3731.01995</v>
      </c>
      <c r="I45" s="285"/>
      <c r="J45" s="101">
        <f>SUM(J35:J39)</f>
        <v>2770.8804554</v>
      </c>
      <c r="K45" s="370"/>
      <c r="L45" s="101">
        <f>SUM(L35:L39)</f>
        <v>8868.45756277434</v>
      </c>
      <c r="M45" s="285"/>
      <c r="N45" s="101">
        <f>SUM(N35:N39)</f>
        <v>3214.348675</v>
      </c>
      <c r="O45" s="851"/>
      <c r="P45" s="801"/>
      <c r="Q45" s="471"/>
      <c r="R45" s="94"/>
      <c r="S45" s="95"/>
    </row>
    <row r="46" spans="1:19" s="96" customFormat="1" ht="12.75" customHeight="1">
      <c r="A46" s="114"/>
      <c r="B46" s="102" t="s">
        <v>97</v>
      </c>
      <c r="C46" s="102"/>
      <c r="D46" s="683"/>
      <c r="E46" s="684"/>
      <c r="F46" s="449">
        <f>F24+F27+F32+F45</f>
        <v>30259.29680420434</v>
      </c>
      <c r="G46" s="388"/>
      <c r="H46" s="359">
        <f>H24+H27+H32+H45</f>
        <v>8312.70635</v>
      </c>
      <c r="I46" s="391"/>
      <c r="J46" s="359">
        <f>J24+J27+J32+J45</f>
        <v>5065.4904554</v>
      </c>
      <c r="K46" s="389"/>
      <c r="L46" s="359">
        <f>L24+L27+L32+L45</f>
        <v>8901.34756277434</v>
      </c>
      <c r="M46" s="391"/>
      <c r="N46" s="359">
        <f>N24+N27+N32+N45</f>
        <v>7979.751475</v>
      </c>
      <c r="O46" s="851"/>
      <c r="P46" s="801"/>
      <c r="Q46" s="471"/>
      <c r="R46" s="94"/>
      <c r="S46" s="95"/>
    </row>
    <row r="47" spans="1:19" s="96" customFormat="1" ht="12.75" customHeight="1">
      <c r="A47" s="106" t="s">
        <v>693</v>
      </c>
      <c r="B47" s="704" t="s">
        <v>735</v>
      </c>
      <c r="C47" s="698"/>
      <c r="D47" s="699"/>
      <c r="E47" s="700"/>
      <c r="F47" s="701"/>
      <c r="G47" s="109"/>
      <c r="H47" s="98"/>
      <c r="I47" s="702"/>
      <c r="J47" s="98"/>
      <c r="K47" s="703"/>
      <c r="L47" s="98"/>
      <c r="M47" s="702"/>
      <c r="N47" s="98"/>
      <c r="O47" s="851"/>
      <c r="P47" s="801"/>
      <c r="Q47" s="130"/>
      <c r="R47" s="94"/>
      <c r="S47" s="95"/>
    </row>
    <row r="48" spans="1:19" s="96" customFormat="1" ht="12.75" customHeight="1">
      <c r="A48" s="106" t="s">
        <v>11</v>
      </c>
      <c r="B48" s="705" t="s">
        <v>598</v>
      </c>
      <c r="C48" s="698"/>
      <c r="D48" s="699"/>
      <c r="E48" s="700"/>
      <c r="F48" s="701"/>
      <c r="G48" s="109"/>
      <c r="H48" s="98"/>
      <c r="I48" s="702"/>
      <c r="J48" s="98"/>
      <c r="K48" s="703"/>
      <c r="L48" s="98"/>
      <c r="M48" s="702"/>
      <c r="N48" s="98"/>
      <c r="O48" s="851"/>
      <c r="P48" s="801"/>
      <c r="Q48" s="130"/>
      <c r="R48" s="94"/>
      <c r="S48" s="95"/>
    </row>
    <row r="49" spans="1:19" s="96" customFormat="1" ht="33" customHeight="1">
      <c r="A49" s="120" t="s">
        <v>749</v>
      </c>
      <c r="B49" s="706" t="s">
        <v>12</v>
      </c>
      <c r="C49" s="698"/>
      <c r="D49" s="699"/>
      <c r="E49" s="700"/>
      <c r="F49" s="709">
        <v>36.53</v>
      </c>
      <c r="G49" s="109"/>
      <c r="H49" s="100">
        <f>F49</f>
        <v>36.53</v>
      </c>
      <c r="I49" s="702"/>
      <c r="J49" s="98"/>
      <c r="K49" s="703"/>
      <c r="L49" s="98"/>
      <c r="M49" s="702"/>
      <c r="N49" s="98"/>
      <c r="O49" s="851" t="s">
        <v>605</v>
      </c>
      <c r="P49" s="801"/>
      <c r="Q49" s="130" t="s">
        <v>695</v>
      </c>
      <c r="R49" s="94"/>
      <c r="S49" s="95"/>
    </row>
    <row r="50" spans="1:19" s="96" customFormat="1" ht="12.75" customHeight="1">
      <c r="A50" s="707"/>
      <c r="B50" s="708" t="s">
        <v>13</v>
      </c>
      <c r="C50" s="710"/>
      <c r="D50" s="711"/>
      <c r="E50" s="712"/>
      <c r="F50" s="713">
        <f>F49</f>
        <v>36.53</v>
      </c>
      <c r="G50" s="118"/>
      <c r="H50" s="101">
        <f>H49</f>
        <v>36.53</v>
      </c>
      <c r="I50" s="646"/>
      <c r="J50" s="101"/>
      <c r="K50" s="280"/>
      <c r="L50" s="101"/>
      <c r="M50" s="646"/>
      <c r="N50" s="101"/>
      <c r="O50" s="791"/>
      <c r="P50" s="801"/>
      <c r="Q50" s="130"/>
      <c r="R50" s="94"/>
      <c r="S50" s="95"/>
    </row>
    <row r="51" spans="1:19" s="718" customFormat="1" ht="12.75" customHeight="1">
      <c r="A51" s="106"/>
      <c r="B51" s="714" t="s">
        <v>14</v>
      </c>
      <c r="C51" s="697"/>
      <c r="D51" s="683"/>
      <c r="E51" s="684"/>
      <c r="F51" s="449">
        <f>F50</f>
        <v>36.53</v>
      </c>
      <c r="G51" s="388"/>
      <c r="H51" s="359">
        <f>H50</f>
        <v>36.53</v>
      </c>
      <c r="I51" s="391"/>
      <c r="J51" s="359"/>
      <c r="K51" s="389"/>
      <c r="L51" s="359"/>
      <c r="M51" s="391"/>
      <c r="N51" s="359"/>
      <c r="O51" s="793"/>
      <c r="P51" s="803"/>
      <c r="Q51" s="715"/>
      <c r="R51" s="716"/>
      <c r="S51" s="717"/>
    </row>
    <row r="52" spans="1:19" s="96" customFormat="1" ht="26.25" customHeight="1">
      <c r="A52" s="103" t="s">
        <v>653</v>
      </c>
      <c r="B52" s="97" t="s">
        <v>743</v>
      </c>
      <c r="C52" s="104"/>
      <c r="D52" s="415"/>
      <c r="E52" s="445"/>
      <c r="F52" s="100">
        <f>D52*E52</f>
        <v>0</v>
      </c>
      <c r="G52" s="109"/>
      <c r="H52" s="100"/>
      <c r="I52" s="109"/>
      <c r="J52" s="100">
        <f>I52*D52</f>
        <v>0</v>
      </c>
      <c r="K52" s="99"/>
      <c r="L52" s="300"/>
      <c r="M52" s="109"/>
      <c r="N52" s="100">
        <f>M52*D52</f>
        <v>0</v>
      </c>
      <c r="O52" s="791"/>
      <c r="P52" s="801"/>
      <c r="Q52" s="130"/>
      <c r="R52" s="94"/>
      <c r="S52" s="95"/>
    </row>
    <row r="53" spans="1:19" s="96" customFormat="1" ht="15" customHeight="1">
      <c r="A53" s="124" t="s">
        <v>739</v>
      </c>
      <c r="B53" s="125" t="s">
        <v>311</v>
      </c>
      <c r="C53" s="104"/>
      <c r="D53" s="415"/>
      <c r="E53" s="445"/>
      <c r="F53" s="100">
        <f>D53*E53</f>
        <v>0</v>
      </c>
      <c r="G53" s="109"/>
      <c r="H53" s="100">
        <f>G53*D53</f>
        <v>0</v>
      </c>
      <c r="I53" s="109"/>
      <c r="J53" s="300"/>
      <c r="K53" s="99"/>
      <c r="L53" s="300"/>
      <c r="M53" s="282"/>
      <c r="N53" s="681">
        <f>M53*D53</f>
        <v>0</v>
      </c>
      <c r="O53" s="791"/>
      <c r="P53" s="801"/>
      <c r="Q53" s="130"/>
      <c r="R53" s="94"/>
      <c r="S53" s="95"/>
    </row>
    <row r="54" spans="1:19" s="96" customFormat="1" ht="33.75" customHeight="1">
      <c r="A54" s="124" t="s">
        <v>749</v>
      </c>
      <c r="B54" s="123" t="s">
        <v>15</v>
      </c>
      <c r="C54" s="104"/>
      <c r="D54" s="415"/>
      <c r="E54" s="445"/>
      <c r="F54" s="681">
        <v>1278.33</v>
      </c>
      <c r="G54" s="109"/>
      <c r="H54" s="100">
        <f>F54</f>
        <v>1278.33</v>
      </c>
      <c r="I54" s="109"/>
      <c r="J54" s="300"/>
      <c r="K54" s="99"/>
      <c r="L54" s="300"/>
      <c r="M54" s="282"/>
      <c r="N54" s="681"/>
      <c r="O54" s="851" t="s">
        <v>605</v>
      </c>
      <c r="P54" s="801"/>
      <c r="Q54" s="130" t="s">
        <v>497</v>
      </c>
      <c r="R54" s="94" t="s">
        <v>130</v>
      </c>
      <c r="S54" s="95"/>
    </row>
    <row r="55" spans="1:19" s="96" customFormat="1" ht="15" customHeight="1">
      <c r="A55" s="124" t="s">
        <v>782</v>
      </c>
      <c r="B55" s="364" t="s">
        <v>507</v>
      </c>
      <c r="C55" s="290"/>
      <c r="D55" s="418"/>
      <c r="E55" s="450"/>
      <c r="F55" s="355">
        <f>SUM(F56:F58)</f>
        <v>37116.941999999995</v>
      </c>
      <c r="G55" s="129"/>
      <c r="H55" s="128">
        <f>SUM(H56:H58)</f>
        <v>5058.471</v>
      </c>
      <c r="I55" s="129"/>
      <c r="J55" s="128">
        <f>SUM(J56:J58)</f>
        <v>13500</v>
      </c>
      <c r="K55" s="291"/>
      <c r="L55" s="128">
        <f>SUM(L56:L58)</f>
        <v>14058.471</v>
      </c>
      <c r="M55" s="129"/>
      <c r="N55" s="128">
        <f>SUM(N56:N58)</f>
        <v>4500</v>
      </c>
      <c r="O55" s="851"/>
      <c r="P55" s="801"/>
      <c r="Q55" s="130"/>
      <c r="R55" s="94"/>
      <c r="S55" s="95"/>
    </row>
    <row r="56" spans="1:19" s="96" customFormat="1" ht="28.5" customHeight="1">
      <c r="A56" s="126" t="s">
        <v>751</v>
      </c>
      <c r="B56" s="123" t="s">
        <v>423</v>
      </c>
      <c r="C56" s="111" t="s">
        <v>580</v>
      </c>
      <c r="D56" s="605">
        <v>3943.971</v>
      </c>
      <c r="E56" s="109">
        <v>1</v>
      </c>
      <c r="F56" s="100">
        <f>E56*D56</f>
        <v>3943.971</v>
      </c>
      <c r="G56" s="109"/>
      <c r="H56" s="100">
        <f>D56/2</f>
        <v>1971.9855</v>
      </c>
      <c r="I56" s="109"/>
      <c r="J56" s="100"/>
      <c r="K56" s="99"/>
      <c r="L56" s="100">
        <f>D56/2</f>
        <v>1971.9855</v>
      </c>
      <c r="M56" s="109"/>
      <c r="N56" s="100"/>
      <c r="O56" s="851" t="s">
        <v>570</v>
      </c>
      <c r="P56" s="801" t="s">
        <v>572</v>
      </c>
      <c r="Q56" s="975" t="s">
        <v>696</v>
      </c>
      <c r="R56" s="972" t="s">
        <v>493</v>
      </c>
      <c r="S56" s="95"/>
    </row>
    <row r="57" spans="1:19" s="96" customFormat="1" ht="28.5" customHeight="1">
      <c r="A57" s="126" t="s">
        <v>753</v>
      </c>
      <c r="B57" s="123" t="s">
        <v>502</v>
      </c>
      <c r="C57" s="111" t="s">
        <v>580</v>
      </c>
      <c r="D57" s="99">
        <v>6172.971</v>
      </c>
      <c r="E57" s="109">
        <v>1</v>
      </c>
      <c r="F57" s="100">
        <f>E57*D57</f>
        <v>6172.971</v>
      </c>
      <c r="G57" s="109"/>
      <c r="H57" s="100">
        <f>D57/2</f>
        <v>3086.4855</v>
      </c>
      <c r="I57" s="662"/>
      <c r="J57" s="100"/>
      <c r="K57" s="99"/>
      <c r="L57" s="100">
        <f>D57/2</f>
        <v>3086.4855</v>
      </c>
      <c r="M57" s="109"/>
      <c r="N57" s="681"/>
      <c r="O57" s="851" t="s">
        <v>570</v>
      </c>
      <c r="P57" s="801" t="s">
        <v>572</v>
      </c>
      <c r="Q57" s="976"/>
      <c r="R57" s="973"/>
      <c r="S57" s="95"/>
    </row>
    <row r="58" spans="1:19" s="96" customFormat="1" ht="25.5" customHeight="1">
      <c r="A58" s="126" t="s">
        <v>354</v>
      </c>
      <c r="B58" s="123" t="s">
        <v>426</v>
      </c>
      <c r="C58" s="111" t="s">
        <v>580</v>
      </c>
      <c r="D58" s="99">
        <v>9000</v>
      </c>
      <c r="E58" s="109">
        <v>3</v>
      </c>
      <c r="F58" s="100">
        <f>E58*D58</f>
        <v>27000</v>
      </c>
      <c r="G58" s="109"/>
      <c r="H58" s="100"/>
      <c r="I58" s="109"/>
      <c r="J58" s="100">
        <v>13500</v>
      </c>
      <c r="K58" s="99"/>
      <c r="L58" s="100">
        <v>9000</v>
      </c>
      <c r="M58" s="109"/>
      <c r="N58" s="681">
        <v>4500</v>
      </c>
      <c r="O58" s="851" t="s">
        <v>570</v>
      </c>
      <c r="P58" s="801" t="s">
        <v>572</v>
      </c>
      <c r="Q58" s="977"/>
      <c r="R58" s="974"/>
      <c r="S58" s="95"/>
    </row>
    <row r="59" spans="1:19" s="96" customFormat="1" ht="12.75" customHeight="1">
      <c r="A59" s="114"/>
      <c r="B59" s="115" t="s">
        <v>526</v>
      </c>
      <c r="C59" s="116"/>
      <c r="D59" s="416"/>
      <c r="E59" s="447"/>
      <c r="F59" s="101">
        <f>F55+F54</f>
        <v>38395.272</v>
      </c>
      <c r="G59" s="285"/>
      <c r="H59" s="161">
        <f>H55+H54</f>
        <v>6336.8009999999995</v>
      </c>
      <c r="I59" s="285"/>
      <c r="J59" s="161">
        <f>J55</f>
        <v>13500</v>
      </c>
      <c r="K59" s="370"/>
      <c r="L59" s="161">
        <f>L55</f>
        <v>14058.471</v>
      </c>
      <c r="M59" s="285"/>
      <c r="N59" s="161">
        <f>N55</f>
        <v>4500</v>
      </c>
      <c r="O59" s="851"/>
      <c r="P59" s="801"/>
      <c r="Q59" s="131"/>
      <c r="R59" s="94"/>
      <c r="S59" s="95"/>
    </row>
    <row r="60" spans="1:19" s="96" customFormat="1" ht="12.75" customHeight="1">
      <c r="A60" s="228" t="s">
        <v>464</v>
      </c>
      <c r="B60" s="125" t="s">
        <v>581</v>
      </c>
      <c r="C60" s="104"/>
      <c r="D60" s="424"/>
      <c r="E60" s="445"/>
      <c r="F60" s="98"/>
      <c r="G60" s="654"/>
      <c r="H60" s="653"/>
      <c r="I60" s="654"/>
      <c r="J60" s="98"/>
      <c r="K60" s="657"/>
      <c r="L60" s="653"/>
      <c r="M60" s="654"/>
      <c r="N60" s="653"/>
      <c r="O60" s="851"/>
      <c r="P60" s="801"/>
      <c r="Q60" s="131"/>
      <c r="R60" s="94"/>
      <c r="S60" s="95"/>
    </row>
    <row r="61" spans="1:19" s="96" customFormat="1" ht="12.75" customHeight="1">
      <c r="A61" s="106" t="s">
        <v>749</v>
      </c>
      <c r="B61" s="652" t="s">
        <v>272</v>
      </c>
      <c r="C61" s="290"/>
      <c r="D61" s="828"/>
      <c r="E61" s="450"/>
      <c r="F61" s="357"/>
      <c r="G61" s="381"/>
      <c r="H61" s="829"/>
      <c r="I61" s="381"/>
      <c r="J61" s="357"/>
      <c r="K61" s="382"/>
      <c r="L61" s="829"/>
      <c r="M61" s="381"/>
      <c r="N61" s="829"/>
      <c r="O61" s="851"/>
      <c r="P61" s="801"/>
      <c r="Q61" s="131"/>
      <c r="R61" s="94"/>
      <c r="S61" s="95"/>
    </row>
    <row r="62" spans="1:19" s="96" customFormat="1" ht="24" customHeight="1">
      <c r="A62" s="120" t="s">
        <v>747</v>
      </c>
      <c r="B62" s="123" t="s">
        <v>261</v>
      </c>
      <c r="C62" s="108" t="s">
        <v>580</v>
      </c>
      <c r="D62" s="419">
        <v>2163.171</v>
      </c>
      <c r="E62" s="109">
        <v>1</v>
      </c>
      <c r="F62" s="100">
        <f>E62*D62</f>
        <v>2163.171</v>
      </c>
      <c r="G62" s="654"/>
      <c r="H62" s="653"/>
      <c r="I62" s="109"/>
      <c r="J62" s="100">
        <f>D62/2</f>
        <v>1081.5855</v>
      </c>
      <c r="K62" s="657"/>
      <c r="L62" s="653"/>
      <c r="M62" s="654"/>
      <c r="N62" s="681">
        <f>D62/2</f>
        <v>1081.5855</v>
      </c>
      <c r="O62" s="851" t="s">
        <v>570</v>
      </c>
      <c r="P62" s="801"/>
      <c r="Q62" s="972" t="s">
        <v>696</v>
      </c>
      <c r="R62" s="972" t="s">
        <v>143</v>
      </c>
      <c r="S62" s="95"/>
    </row>
    <row r="63" spans="1:19" s="96" customFormat="1" ht="27.75" customHeight="1">
      <c r="A63" s="120" t="s">
        <v>748</v>
      </c>
      <c r="B63" s="123" t="s">
        <v>16</v>
      </c>
      <c r="C63" s="108" t="s">
        <v>580</v>
      </c>
      <c r="D63" s="419">
        <v>911.571</v>
      </c>
      <c r="E63" s="109">
        <v>1</v>
      </c>
      <c r="F63" s="100">
        <v>911.571</v>
      </c>
      <c r="G63" s="109">
        <f>E63</f>
        <v>1</v>
      </c>
      <c r="H63" s="99">
        <f>F63</f>
        <v>911.571</v>
      </c>
      <c r="I63" s="109"/>
      <c r="J63" s="681"/>
      <c r="K63" s="657"/>
      <c r="L63" s="653"/>
      <c r="M63" s="654"/>
      <c r="N63" s="681"/>
      <c r="O63" s="851" t="s">
        <v>605</v>
      </c>
      <c r="P63" s="801"/>
      <c r="Q63" s="974"/>
      <c r="R63" s="974"/>
      <c r="S63" s="95"/>
    </row>
    <row r="64" spans="1:19" s="96" customFormat="1" ht="12.75" customHeight="1">
      <c r="A64" s="114"/>
      <c r="B64" s="115" t="s">
        <v>532</v>
      </c>
      <c r="C64" s="116"/>
      <c r="D64" s="416"/>
      <c r="E64" s="447"/>
      <c r="F64" s="101">
        <f>SUM(F62:F63)</f>
        <v>3074.7419999999997</v>
      </c>
      <c r="G64" s="285"/>
      <c r="H64" s="161">
        <f>SUM(H62:H63)</f>
        <v>911.571</v>
      </c>
      <c r="I64" s="285"/>
      <c r="J64" s="161">
        <f>J62</f>
        <v>1081.5855</v>
      </c>
      <c r="K64" s="285"/>
      <c r="L64" s="161"/>
      <c r="M64" s="285"/>
      <c r="N64" s="161">
        <f>N62</f>
        <v>1081.5855</v>
      </c>
      <c r="O64" s="851"/>
      <c r="P64" s="801"/>
      <c r="Q64" s="131"/>
      <c r="R64" s="94"/>
      <c r="S64" s="95"/>
    </row>
    <row r="65" spans="1:19" s="96" customFormat="1" ht="12.75" customHeight="1">
      <c r="A65" s="719" t="s">
        <v>741</v>
      </c>
      <c r="B65" s="720" t="s">
        <v>193</v>
      </c>
      <c r="C65" s="104"/>
      <c r="D65" s="424"/>
      <c r="E65" s="445"/>
      <c r="F65" s="98"/>
      <c r="G65" s="654"/>
      <c r="H65" s="653"/>
      <c r="I65" s="654"/>
      <c r="J65" s="653"/>
      <c r="K65" s="657"/>
      <c r="L65" s="653"/>
      <c r="M65" s="654"/>
      <c r="N65" s="653"/>
      <c r="O65" s="851"/>
      <c r="P65" s="801"/>
      <c r="Q65" s="131"/>
      <c r="R65" s="94"/>
      <c r="S65" s="95"/>
    </row>
    <row r="66" spans="1:19" s="96" customFormat="1" ht="23.25" customHeight="1">
      <c r="A66" s="106" t="s">
        <v>749</v>
      </c>
      <c r="B66" s="721" t="s">
        <v>17</v>
      </c>
      <c r="C66" s="104"/>
      <c r="D66" s="424"/>
      <c r="E66" s="445"/>
      <c r="F66" s="100">
        <v>13.4</v>
      </c>
      <c r="G66" s="654"/>
      <c r="H66" s="681">
        <f>F66</f>
        <v>13.4</v>
      </c>
      <c r="I66" s="654"/>
      <c r="J66" s="653"/>
      <c r="K66" s="657"/>
      <c r="L66" s="653"/>
      <c r="M66" s="654"/>
      <c r="N66" s="653"/>
      <c r="O66" s="851" t="s">
        <v>605</v>
      </c>
      <c r="P66" s="801"/>
      <c r="Q66" s="131" t="s">
        <v>697</v>
      </c>
      <c r="R66" s="94"/>
      <c r="S66" s="95"/>
    </row>
    <row r="67" spans="1:19" s="96" customFormat="1" ht="15.75" customHeight="1">
      <c r="A67" s="106"/>
      <c r="B67" s="722" t="s">
        <v>18</v>
      </c>
      <c r="C67" s="724"/>
      <c r="D67" s="725"/>
      <c r="E67" s="726"/>
      <c r="F67" s="727">
        <f>F66</f>
        <v>13.4</v>
      </c>
      <c r="G67" s="728"/>
      <c r="H67" s="729">
        <f>H66</f>
        <v>13.4</v>
      </c>
      <c r="I67" s="728"/>
      <c r="J67" s="729">
        <f>J66</f>
        <v>0</v>
      </c>
      <c r="K67" s="730"/>
      <c r="L67" s="729">
        <f>L66</f>
        <v>0</v>
      </c>
      <c r="M67" s="728"/>
      <c r="N67" s="729">
        <f>N66</f>
        <v>0</v>
      </c>
      <c r="O67" s="851"/>
      <c r="P67" s="801"/>
      <c r="Q67" s="131"/>
      <c r="R67" s="94"/>
      <c r="S67" s="95"/>
    </row>
    <row r="68" spans="1:19" s="96" customFormat="1" ht="12.75" customHeight="1">
      <c r="A68" s="106"/>
      <c r="B68" s="723" t="s">
        <v>19</v>
      </c>
      <c r="C68" s="731"/>
      <c r="D68" s="732"/>
      <c r="E68" s="733"/>
      <c r="F68" s="734">
        <f>F59+F64+F67</f>
        <v>41483.414</v>
      </c>
      <c r="G68" s="735"/>
      <c r="H68" s="736">
        <f>H59+H64+H67</f>
        <v>7261.771999999999</v>
      </c>
      <c r="I68" s="735"/>
      <c r="J68" s="736">
        <f>J59+J64+J67</f>
        <v>14581.5855</v>
      </c>
      <c r="K68" s="737"/>
      <c r="L68" s="736">
        <f>L59+L64+L67</f>
        <v>14058.471</v>
      </c>
      <c r="M68" s="735"/>
      <c r="N68" s="736">
        <f>N59+N64+N67</f>
        <v>5581.5855</v>
      </c>
      <c r="O68" s="851"/>
      <c r="P68" s="801"/>
      <c r="Q68" s="131"/>
      <c r="R68" s="94"/>
      <c r="S68" s="95"/>
    </row>
    <row r="69" spans="1:19" s="96" customFormat="1" ht="12.75" customHeight="1">
      <c r="A69" s="114"/>
      <c r="B69" s="133" t="s">
        <v>512</v>
      </c>
      <c r="C69" s="608"/>
      <c r="D69" s="609"/>
      <c r="E69" s="610"/>
      <c r="F69" s="134">
        <f>F19+F46+F51+F68</f>
        <v>72676.40080420434</v>
      </c>
      <c r="G69" s="222"/>
      <c r="H69" s="395">
        <f>H19+H46+H51+H68</f>
        <v>15611.00835</v>
      </c>
      <c r="I69" s="222"/>
      <c r="J69" s="395">
        <f>J19+J46+J51+J68</f>
        <v>20544.2359554</v>
      </c>
      <c r="K69" s="223"/>
      <c r="L69" s="395">
        <f>L19+L46+L51+L68</f>
        <v>22959.818562774337</v>
      </c>
      <c r="M69" s="222"/>
      <c r="N69" s="395">
        <f>N19+N46+N51+N68</f>
        <v>13561.336975</v>
      </c>
      <c r="O69" s="851"/>
      <c r="P69" s="801"/>
      <c r="Q69" s="131"/>
      <c r="R69" s="94"/>
      <c r="S69" s="95"/>
    </row>
    <row r="70" spans="1:19" s="96" customFormat="1" ht="14.25" customHeight="1">
      <c r="A70" s="89" t="s">
        <v>254</v>
      </c>
      <c r="B70" s="136" t="s">
        <v>249</v>
      </c>
      <c r="C70" s="104"/>
      <c r="D70" s="415"/>
      <c r="E70" s="445"/>
      <c r="F70" s="100">
        <f>D70*E70</f>
        <v>0</v>
      </c>
      <c r="G70" s="109"/>
      <c r="H70" s="100">
        <f>G70*D70</f>
        <v>0</v>
      </c>
      <c r="I70" s="109"/>
      <c r="J70" s="100">
        <f>I70*D70</f>
        <v>0</v>
      </c>
      <c r="K70" s="99"/>
      <c r="L70" s="100">
        <f>K70*D70</f>
        <v>0</v>
      </c>
      <c r="M70" s="109"/>
      <c r="N70" s="100">
        <f>M70*D70</f>
        <v>0</v>
      </c>
      <c r="O70" s="851"/>
      <c r="P70" s="801"/>
      <c r="Q70" s="130"/>
      <c r="R70" s="94"/>
      <c r="S70" s="95"/>
    </row>
    <row r="71" spans="1:19" s="113" customFormat="1" ht="16.5" customHeight="1">
      <c r="A71" s="120" t="s">
        <v>749</v>
      </c>
      <c r="B71" s="137" t="s">
        <v>98</v>
      </c>
      <c r="C71" s="127"/>
      <c r="D71" s="138"/>
      <c r="E71" s="129"/>
      <c r="F71" s="128">
        <f>SUM(F72:F84)</f>
        <v>3610.44264</v>
      </c>
      <c r="G71" s="129"/>
      <c r="H71" s="128">
        <f>SUM(H72:H84)</f>
        <v>1081.36834</v>
      </c>
      <c r="I71" s="377"/>
      <c r="J71" s="128">
        <f>SUM(J72:J84)</f>
        <v>1483.6244000000002</v>
      </c>
      <c r="K71" s="374"/>
      <c r="L71" s="128">
        <f>SUM(L72:L84)</f>
        <v>1045.4499</v>
      </c>
      <c r="M71" s="377"/>
      <c r="N71" s="128">
        <f>SUM(N72:N84)</f>
        <v>0</v>
      </c>
      <c r="O71" s="851"/>
      <c r="P71" s="804"/>
      <c r="Q71" s="130"/>
      <c r="R71" s="121"/>
      <c r="S71" s="112"/>
    </row>
    <row r="72" spans="1:20" s="113" customFormat="1" ht="26.25" customHeight="1">
      <c r="A72" s="298" t="s">
        <v>747</v>
      </c>
      <c r="B72" s="107" t="s">
        <v>355</v>
      </c>
      <c r="C72" s="108" t="s">
        <v>580</v>
      </c>
      <c r="D72" s="419">
        <v>618.84</v>
      </c>
      <c r="E72" s="109">
        <v>1</v>
      </c>
      <c r="F72" s="847">
        <f aca="true" t="shared" si="2" ref="F72:F77">E72*D72</f>
        <v>618.84</v>
      </c>
      <c r="G72" s="282"/>
      <c r="H72" s="300">
        <v>300</v>
      </c>
      <c r="I72" s="282"/>
      <c r="J72" s="300">
        <v>318.84</v>
      </c>
      <c r="K72" s="163"/>
      <c r="L72" s="300"/>
      <c r="M72" s="282"/>
      <c r="N72" s="300"/>
      <c r="O72" s="851" t="s">
        <v>602</v>
      </c>
      <c r="P72" s="802"/>
      <c r="Q72" s="975" t="s">
        <v>164</v>
      </c>
      <c r="R72" s="978" t="s">
        <v>685</v>
      </c>
      <c r="S72" s="301"/>
      <c r="T72" s="302"/>
    </row>
    <row r="73" spans="1:20" s="113" customFormat="1" ht="30.75" customHeight="1">
      <c r="A73" s="298" t="s">
        <v>748</v>
      </c>
      <c r="B73" s="107" t="s">
        <v>567</v>
      </c>
      <c r="C73" s="108" t="s">
        <v>580</v>
      </c>
      <c r="D73" s="419">
        <v>41.1</v>
      </c>
      <c r="E73" s="109">
        <v>1</v>
      </c>
      <c r="F73" s="100">
        <f t="shared" si="2"/>
        <v>41.1</v>
      </c>
      <c r="G73" s="282"/>
      <c r="H73" s="300"/>
      <c r="I73" s="282"/>
      <c r="J73" s="300">
        <v>41.1</v>
      </c>
      <c r="K73" s="163"/>
      <c r="L73" s="300"/>
      <c r="M73" s="282"/>
      <c r="N73" s="300"/>
      <c r="O73" s="851" t="s">
        <v>570</v>
      </c>
      <c r="P73" s="802"/>
      <c r="Q73" s="976"/>
      <c r="R73" s="979"/>
      <c r="S73" s="301"/>
      <c r="T73" s="302"/>
    </row>
    <row r="74" spans="1:20" s="113" customFormat="1" ht="33.75" customHeight="1">
      <c r="A74" s="298" t="s">
        <v>85</v>
      </c>
      <c r="B74" s="107" t="s">
        <v>356</v>
      </c>
      <c r="C74" s="108" t="s">
        <v>580</v>
      </c>
      <c r="D74" s="419">
        <v>181.8</v>
      </c>
      <c r="E74" s="109">
        <v>1</v>
      </c>
      <c r="F74" s="847">
        <f t="shared" si="2"/>
        <v>181.8</v>
      </c>
      <c r="G74" s="282"/>
      <c r="H74" s="300"/>
      <c r="I74" s="282"/>
      <c r="J74" s="300">
        <v>90</v>
      </c>
      <c r="K74" s="163"/>
      <c r="L74" s="300">
        <v>91.8</v>
      </c>
      <c r="M74" s="282"/>
      <c r="N74" s="300"/>
      <c r="O74" s="851" t="s">
        <v>602</v>
      </c>
      <c r="P74" s="802"/>
      <c r="Q74" s="976"/>
      <c r="R74" s="979"/>
      <c r="S74" s="301"/>
      <c r="T74" s="302"/>
    </row>
    <row r="75" spans="1:20" s="113" customFormat="1" ht="41.25" customHeight="1">
      <c r="A75" s="298" t="s">
        <v>86</v>
      </c>
      <c r="B75" s="123" t="s">
        <v>357</v>
      </c>
      <c r="C75" s="108" t="s">
        <v>312</v>
      </c>
      <c r="D75" s="419">
        <v>42.35</v>
      </c>
      <c r="E75" s="109">
        <v>2.8</v>
      </c>
      <c r="F75" s="847">
        <f t="shared" si="2"/>
        <v>118.58</v>
      </c>
      <c r="G75" s="282"/>
      <c r="H75" s="300">
        <v>118.58</v>
      </c>
      <c r="I75" s="282"/>
      <c r="J75" s="300"/>
      <c r="K75" s="163"/>
      <c r="L75" s="300"/>
      <c r="M75" s="282"/>
      <c r="N75" s="300"/>
      <c r="O75" s="851" t="s">
        <v>801</v>
      </c>
      <c r="P75" s="802"/>
      <c r="Q75" s="976"/>
      <c r="R75" s="979"/>
      <c r="S75" s="301"/>
      <c r="T75" s="302"/>
    </row>
    <row r="76" spans="1:19" s="113" customFormat="1" ht="25.5" customHeight="1">
      <c r="A76" s="298" t="s">
        <v>87</v>
      </c>
      <c r="B76" s="623" t="s">
        <v>358</v>
      </c>
      <c r="C76" s="108" t="s">
        <v>312</v>
      </c>
      <c r="D76" s="419">
        <v>11.202</v>
      </c>
      <c r="E76" s="109">
        <v>11</v>
      </c>
      <c r="F76" s="847">
        <f t="shared" si="2"/>
        <v>123.222</v>
      </c>
      <c r="G76" s="109"/>
      <c r="H76" s="100"/>
      <c r="I76" s="109"/>
      <c r="J76" s="100">
        <f>F76/2</f>
        <v>61.611</v>
      </c>
      <c r="K76" s="99"/>
      <c r="L76" s="100">
        <f>F76/2</f>
        <v>61.611</v>
      </c>
      <c r="M76" s="109"/>
      <c r="N76" s="100"/>
      <c r="O76" s="851" t="s">
        <v>570</v>
      </c>
      <c r="P76" s="801"/>
      <c r="Q76" s="976"/>
      <c r="R76" s="979"/>
      <c r="S76" s="286"/>
    </row>
    <row r="77" spans="1:19" s="113" customFormat="1" ht="30.75" customHeight="1">
      <c r="A77" s="298" t="s">
        <v>88</v>
      </c>
      <c r="B77" s="123" t="s">
        <v>359</v>
      </c>
      <c r="C77" s="108" t="s">
        <v>312</v>
      </c>
      <c r="D77" s="419">
        <v>7.630000000000001</v>
      </c>
      <c r="E77" s="109">
        <v>90</v>
      </c>
      <c r="F77" s="847">
        <f t="shared" si="2"/>
        <v>686.7</v>
      </c>
      <c r="G77" s="282">
        <v>50</v>
      </c>
      <c r="H77" s="300">
        <f>G77*D77</f>
        <v>381.50000000000006</v>
      </c>
      <c r="I77" s="282"/>
      <c r="J77" s="300"/>
      <c r="K77" s="163">
        <v>40</v>
      </c>
      <c r="L77" s="300">
        <f>K77*D77</f>
        <v>305.20000000000005</v>
      </c>
      <c r="M77" s="282"/>
      <c r="N77" s="300"/>
      <c r="O77" s="851" t="s">
        <v>602</v>
      </c>
      <c r="P77" s="801"/>
      <c r="Q77" s="976"/>
      <c r="R77" s="980"/>
      <c r="S77" s="286"/>
    </row>
    <row r="78" spans="1:19" s="113" customFormat="1" ht="30.75" customHeight="1">
      <c r="A78" s="298" t="s">
        <v>89</v>
      </c>
      <c r="B78" s="231" t="s">
        <v>503</v>
      </c>
      <c r="C78" s="108" t="s">
        <v>312</v>
      </c>
      <c r="D78" s="420">
        <v>11.81</v>
      </c>
      <c r="E78" s="234">
        <v>129.69</v>
      </c>
      <c r="F78" s="847">
        <v>1531.6389000000001</v>
      </c>
      <c r="G78" s="454"/>
      <c r="H78" s="738"/>
      <c r="I78" s="454">
        <v>80</v>
      </c>
      <c r="J78" s="300">
        <f>I78*D78</f>
        <v>944.8000000000001</v>
      </c>
      <c r="K78" s="738">
        <v>49.69</v>
      </c>
      <c r="L78" s="300">
        <f>K78*D78</f>
        <v>586.8389</v>
      </c>
      <c r="M78" s="454"/>
      <c r="N78" s="399"/>
      <c r="O78" s="851" t="s">
        <v>602</v>
      </c>
      <c r="P78" s="801"/>
      <c r="Q78" s="975" t="s">
        <v>349</v>
      </c>
      <c r="R78" s="695"/>
      <c r="S78" s="286"/>
    </row>
    <row r="79" spans="1:19" s="113" customFormat="1" ht="30.75" customHeight="1">
      <c r="A79" s="298" t="s">
        <v>90</v>
      </c>
      <c r="B79" s="231" t="s">
        <v>503</v>
      </c>
      <c r="C79" s="108" t="s">
        <v>312</v>
      </c>
      <c r="D79" s="420">
        <v>9.91</v>
      </c>
      <c r="E79" s="234">
        <v>15.00201816347124</v>
      </c>
      <c r="F79" s="847">
        <v>148.67</v>
      </c>
      <c r="G79" s="454">
        <f aca="true" t="shared" si="3" ref="G79:G84">E79</f>
        <v>15.00201816347124</v>
      </c>
      <c r="H79" s="738">
        <f aca="true" t="shared" si="4" ref="H79:H84">F79</f>
        <v>148.67</v>
      </c>
      <c r="I79" s="454"/>
      <c r="J79" s="300"/>
      <c r="K79" s="738"/>
      <c r="L79" s="300"/>
      <c r="M79" s="454"/>
      <c r="N79" s="399"/>
      <c r="O79" s="851" t="s">
        <v>605</v>
      </c>
      <c r="P79" s="801"/>
      <c r="Q79" s="976"/>
      <c r="R79" s="695"/>
      <c r="S79" s="286"/>
    </row>
    <row r="80" spans="1:19" s="113" customFormat="1" ht="30.75" customHeight="1">
      <c r="A80" s="298" t="s">
        <v>91</v>
      </c>
      <c r="B80" s="231" t="s">
        <v>504</v>
      </c>
      <c r="C80" s="108" t="s">
        <v>312</v>
      </c>
      <c r="D80" s="420">
        <v>13.73</v>
      </c>
      <c r="E80" s="234">
        <v>0.86</v>
      </c>
      <c r="F80" s="847">
        <v>11.8078</v>
      </c>
      <c r="G80" s="454"/>
      <c r="H80" s="738"/>
      <c r="I80" s="454">
        <v>0.86</v>
      </c>
      <c r="J80" s="300">
        <f>I80*D80</f>
        <v>11.8078</v>
      </c>
      <c r="K80" s="738"/>
      <c r="L80" s="300"/>
      <c r="M80" s="454"/>
      <c r="N80" s="399"/>
      <c r="O80" s="851" t="s">
        <v>602</v>
      </c>
      <c r="P80" s="801"/>
      <c r="Q80" s="976"/>
      <c r="R80" s="695"/>
      <c r="S80" s="286"/>
    </row>
    <row r="81" spans="1:19" s="113" customFormat="1" ht="30.75" customHeight="1">
      <c r="A81" s="298" t="s">
        <v>92</v>
      </c>
      <c r="B81" s="231" t="s">
        <v>504</v>
      </c>
      <c r="C81" s="108" t="s">
        <v>312</v>
      </c>
      <c r="D81" s="420">
        <v>11.294432432432432</v>
      </c>
      <c r="E81" s="234">
        <v>2.155902932322551</v>
      </c>
      <c r="F81" s="847">
        <v>24.349700000000002</v>
      </c>
      <c r="G81" s="454">
        <f t="shared" si="3"/>
        <v>2.155902932322551</v>
      </c>
      <c r="H81" s="738">
        <f t="shared" si="4"/>
        <v>24.349700000000002</v>
      </c>
      <c r="I81" s="454"/>
      <c r="J81" s="300"/>
      <c r="K81" s="233"/>
      <c r="L81" s="300"/>
      <c r="M81" s="454"/>
      <c r="N81" s="399"/>
      <c r="O81" s="851" t="s">
        <v>605</v>
      </c>
      <c r="P81" s="801"/>
      <c r="Q81" s="976"/>
      <c r="R81" s="695"/>
      <c r="S81" s="286"/>
    </row>
    <row r="82" spans="1:19" s="113" customFormat="1" ht="33" customHeight="1">
      <c r="A82" s="298" t="s">
        <v>93</v>
      </c>
      <c r="B82" s="231" t="s">
        <v>505</v>
      </c>
      <c r="C82" s="108" t="s">
        <v>312</v>
      </c>
      <c r="D82" s="420">
        <v>7.2</v>
      </c>
      <c r="E82" s="234">
        <v>2.148</v>
      </c>
      <c r="F82" s="847">
        <v>15.465600000000002</v>
      </c>
      <c r="G82" s="282"/>
      <c r="H82" s="738"/>
      <c r="I82" s="234">
        <v>2.148</v>
      </c>
      <c r="J82" s="300">
        <f>I82*D82</f>
        <v>15.465600000000002</v>
      </c>
      <c r="K82" s="233"/>
      <c r="L82" s="300"/>
      <c r="M82" s="234"/>
      <c r="N82" s="175"/>
      <c r="O82" s="851" t="s">
        <v>602</v>
      </c>
      <c r="P82" s="801"/>
      <c r="Q82" s="977"/>
      <c r="R82" s="121"/>
      <c r="S82" s="286"/>
    </row>
    <row r="83" spans="1:19" s="113" customFormat="1" ht="27" customHeight="1">
      <c r="A83" s="298" t="s">
        <v>94</v>
      </c>
      <c r="B83" s="107" t="s">
        <v>20</v>
      </c>
      <c r="C83" s="108"/>
      <c r="D83" s="420"/>
      <c r="E83" s="234"/>
      <c r="F83" s="847">
        <v>88.602</v>
      </c>
      <c r="G83" s="454">
        <f t="shared" si="3"/>
        <v>0</v>
      </c>
      <c r="H83" s="738">
        <f t="shared" si="4"/>
        <v>88.602</v>
      </c>
      <c r="I83" s="234"/>
      <c r="J83" s="663">
        <f>I83*D83</f>
        <v>0</v>
      </c>
      <c r="K83" s="233"/>
      <c r="L83" s="175"/>
      <c r="M83" s="234"/>
      <c r="N83" s="175"/>
      <c r="O83" s="851" t="s">
        <v>605</v>
      </c>
      <c r="P83" s="801"/>
      <c r="Q83" s="111" t="s">
        <v>499</v>
      </c>
      <c r="R83" s="121"/>
      <c r="S83" s="286"/>
    </row>
    <row r="84" spans="1:19" s="113" customFormat="1" ht="30.75" customHeight="1">
      <c r="A84" s="298" t="s">
        <v>95</v>
      </c>
      <c r="B84" s="107" t="s">
        <v>21</v>
      </c>
      <c r="C84" s="108"/>
      <c r="D84" s="420"/>
      <c r="E84" s="234"/>
      <c r="F84" s="847">
        <v>19.66664</v>
      </c>
      <c r="G84" s="282">
        <f t="shared" si="3"/>
        <v>0</v>
      </c>
      <c r="H84" s="738">
        <f t="shared" si="4"/>
        <v>19.66664</v>
      </c>
      <c r="I84" s="234"/>
      <c r="J84" s="663"/>
      <c r="K84" s="233"/>
      <c r="L84" s="175"/>
      <c r="M84" s="234"/>
      <c r="N84" s="175"/>
      <c r="O84" s="851" t="s">
        <v>605</v>
      </c>
      <c r="P84" s="801"/>
      <c r="Q84" s="111" t="s">
        <v>350</v>
      </c>
      <c r="R84" s="121"/>
      <c r="S84" s="286"/>
    </row>
    <row r="85" spans="1:19" s="96" customFormat="1" ht="12.75" customHeight="1" thickBot="1">
      <c r="A85" s="298"/>
      <c r="B85" s="140" t="s">
        <v>235</v>
      </c>
      <c r="C85" s="141"/>
      <c r="D85" s="421"/>
      <c r="E85" s="451"/>
      <c r="F85" s="142">
        <f>F71</f>
        <v>3610.44264</v>
      </c>
      <c r="G85" s="205"/>
      <c r="H85" s="142">
        <f>H71</f>
        <v>1081.36834</v>
      </c>
      <c r="I85" s="387"/>
      <c r="J85" s="142">
        <f>J71</f>
        <v>1483.6244000000002</v>
      </c>
      <c r="K85" s="386"/>
      <c r="L85" s="142">
        <f>L71</f>
        <v>1045.4499</v>
      </c>
      <c r="M85" s="387"/>
      <c r="N85" s="142">
        <f>N71</f>
        <v>0</v>
      </c>
      <c r="O85" s="795"/>
      <c r="P85" s="804"/>
      <c r="Q85" s="130"/>
      <c r="R85" s="94"/>
      <c r="S85" s="95"/>
    </row>
    <row r="86" spans="1:25" s="96" customFormat="1" ht="15.75" customHeight="1" thickBot="1">
      <c r="A86" s="144" t="s">
        <v>99</v>
      </c>
      <c r="B86" s="145"/>
      <c r="C86" s="146"/>
      <c r="D86" s="422"/>
      <c r="E86" s="452"/>
      <c r="F86" s="147">
        <f>F85+F69</f>
        <v>76286.84344420434</v>
      </c>
      <c r="G86" s="148"/>
      <c r="H86" s="147">
        <f>H85+H69</f>
        <v>16692.37669</v>
      </c>
      <c r="I86" s="379"/>
      <c r="J86" s="465">
        <f>J85+J69</f>
        <v>22027.8603554</v>
      </c>
      <c r="K86" s="378"/>
      <c r="L86" s="465">
        <f>L85+L69</f>
        <v>24005.268462774337</v>
      </c>
      <c r="M86" s="379"/>
      <c r="N86" s="465">
        <f>N85+N69</f>
        <v>13561.336975</v>
      </c>
      <c r="O86" s="795"/>
      <c r="P86" s="801"/>
      <c r="Q86" s="131"/>
      <c r="R86" s="94"/>
      <c r="S86" s="95"/>
      <c r="T86" s="149"/>
      <c r="U86" s="150"/>
      <c r="V86" s="149"/>
      <c r="W86" s="150"/>
      <c r="X86" s="149"/>
      <c r="Y86" s="149"/>
    </row>
    <row r="87" spans="1:25" s="96" customFormat="1" ht="18" customHeight="1">
      <c r="A87" s="151" t="s">
        <v>651</v>
      </c>
      <c r="B87" s="152"/>
      <c r="C87" s="152"/>
      <c r="D87" s="423"/>
      <c r="E87" s="453"/>
      <c r="F87" s="356"/>
      <c r="G87" s="155"/>
      <c r="H87" s="154"/>
      <c r="I87" s="155"/>
      <c r="J87" s="154"/>
      <c r="K87" s="153"/>
      <c r="L87" s="154"/>
      <c r="M87" s="155"/>
      <c r="N87" s="154"/>
      <c r="O87" s="796"/>
      <c r="P87" s="805"/>
      <c r="Q87" s="473"/>
      <c r="R87" s="156"/>
      <c r="S87" s="157"/>
      <c r="T87" s="241"/>
      <c r="U87" s="149"/>
      <c r="V87" s="149"/>
      <c r="W87" s="149"/>
      <c r="X87" s="149"/>
      <c r="Y87" s="149"/>
    </row>
    <row r="88" spans="1:19" s="96" customFormat="1" ht="13.5" customHeight="1">
      <c r="A88" s="103" t="s">
        <v>268</v>
      </c>
      <c r="B88" s="159" t="s">
        <v>100</v>
      </c>
      <c r="C88" s="104"/>
      <c r="D88" s="424"/>
      <c r="E88" s="445"/>
      <c r="F88" s="100">
        <f>D88*E88</f>
        <v>0</v>
      </c>
      <c r="G88" s="109"/>
      <c r="H88" s="100"/>
      <c r="I88" s="109"/>
      <c r="J88" s="100"/>
      <c r="K88" s="99"/>
      <c r="L88" s="100"/>
      <c r="M88" s="109"/>
      <c r="N88" s="100"/>
      <c r="O88" s="791"/>
      <c r="P88" s="801"/>
      <c r="Q88" s="130"/>
      <c r="R88" s="94"/>
      <c r="S88" s="95"/>
    </row>
    <row r="89" spans="1:19" s="96" customFormat="1" ht="13.5" customHeight="1" hidden="1">
      <c r="A89" s="103"/>
      <c r="B89" s="159"/>
      <c r="C89" s="104"/>
      <c r="D89" s="424"/>
      <c r="E89" s="445"/>
      <c r="F89" s="100"/>
      <c r="G89" s="109"/>
      <c r="H89" s="100"/>
      <c r="I89" s="109"/>
      <c r="J89" s="100"/>
      <c r="K89" s="99"/>
      <c r="L89" s="100"/>
      <c r="M89" s="109"/>
      <c r="N89" s="100"/>
      <c r="O89" s="791"/>
      <c r="P89" s="801"/>
      <c r="Q89" s="130"/>
      <c r="R89" s="94"/>
      <c r="S89" s="95"/>
    </row>
    <row r="90" spans="1:19" s="96" customFormat="1" ht="13.5" customHeight="1" hidden="1">
      <c r="A90" s="103"/>
      <c r="B90" s="159"/>
      <c r="C90" s="104"/>
      <c r="D90" s="424"/>
      <c r="E90" s="445"/>
      <c r="F90" s="100"/>
      <c r="G90" s="109"/>
      <c r="H90" s="100"/>
      <c r="I90" s="109"/>
      <c r="J90" s="100"/>
      <c r="K90" s="99"/>
      <c r="L90" s="100"/>
      <c r="M90" s="109"/>
      <c r="N90" s="100"/>
      <c r="O90" s="791"/>
      <c r="P90" s="801"/>
      <c r="Q90" s="130"/>
      <c r="R90" s="94"/>
      <c r="S90" s="95"/>
    </row>
    <row r="91" spans="1:19" s="96" customFormat="1" ht="13.5" customHeight="1" hidden="1">
      <c r="A91" s="103"/>
      <c r="B91" s="159"/>
      <c r="C91" s="104"/>
      <c r="D91" s="424"/>
      <c r="E91" s="445"/>
      <c r="F91" s="100"/>
      <c r="G91" s="109"/>
      <c r="H91" s="100"/>
      <c r="I91" s="109"/>
      <c r="J91" s="100"/>
      <c r="K91" s="99"/>
      <c r="L91" s="100"/>
      <c r="M91" s="109"/>
      <c r="N91" s="100"/>
      <c r="O91" s="791"/>
      <c r="P91" s="801"/>
      <c r="Q91" s="130"/>
      <c r="R91" s="94"/>
      <c r="S91" s="95"/>
    </row>
    <row r="92" spans="1:19" s="96" customFormat="1" ht="11.25" customHeight="1" hidden="1">
      <c r="A92" s="103"/>
      <c r="B92" s="159"/>
      <c r="C92" s="104"/>
      <c r="D92" s="424"/>
      <c r="E92" s="445"/>
      <c r="F92" s="100"/>
      <c r="G92" s="109"/>
      <c r="H92" s="100"/>
      <c r="I92" s="109"/>
      <c r="J92" s="100"/>
      <c r="K92" s="99"/>
      <c r="L92" s="100"/>
      <c r="M92" s="109"/>
      <c r="N92" s="100"/>
      <c r="O92" s="791"/>
      <c r="P92" s="801"/>
      <c r="Q92" s="130"/>
      <c r="R92" s="94"/>
      <c r="S92" s="95"/>
    </row>
    <row r="93" spans="1:19" s="96" customFormat="1" ht="11.25" customHeight="1" hidden="1">
      <c r="A93" s="103"/>
      <c r="B93" s="159"/>
      <c r="C93" s="104"/>
      <c r="D93" s="424"/>
      <c r="E93" s="445"/>
      <c r="F93" s="100"/>
      <c r="G93" s="109"/>
      <c r="H93" s="100"/>
      <c r="I93" s="109"/>
      <c r="J93" s="100"/>
      <c r="K93" s="99"/>
      <c r="L93" s="100"/>
      <c r="M93" s="109"/>
      <c r="N93" s="100"/>
      <c r="O93" s="791"/>
      <c r="P93" s="801"/>
      <c r="Q93" s="130"/>
      <c r="R93" s="94"/>
      <c r="S93" s="95"/>
    </row>
    <row r="94" spans="1:19" s="96" customFormat="1" ht="11.25" customHeight="1" hidden="1">
      <c r="A94" s="103"/>
      <c r="B94" s="159"/>
      <c r="C94" s="104"/>
      <c r="D94" s="424"/>
      <c r="E94" s="445"/>
      <c r="F94" s="100"/>
      <c r="G94" s="109"/>
      <c r="H94" s="100"/>
      <c r="I94" s="109"/>
      <c r="J94" s="100"/>
      <c r="K94" s="99"/>
      <c r="L94" s="100"/>
      <c r="M94" s="109"/>
      <c r="N94" s="100"/>
      <c r="O94" s="791"/>
      <c r="P94" s="801"/>
      <c r="Q94" s="130"/>
      <c r="R94" s="94"/>
      <c r="S94" s="95"/>
    </row>
    <row r="95" spans="1:19" s="96" customFormat="1" ht="11.25" customHeight="1" hidden="1">
      <c r="A95" s="103"/>
      <c r="B95" s="159"/>
      <c r="C95" s="104"/>
      <c r="D95" s="424"/>
      <c r="E95" s="445"/>
      <c r="F95" s="100"/>
      <c r="G95" s="109"/>
      <c r="H95" s="100"/>
      <c r="I95" s="109"/>
      <c r="J95" s="100"/>
      <c r="K95" s="99"/>
      <c r="L95" s="100"/>
      <c r="M95" s="109"/>
      <c r="N95" s="100"/>
      <c r="O95" s="791"/>
      <c r="P95" s="801"/>
      <c r="Q95" s="130"/>
      <c r="R95" s="94"/>
      <c r="S95" s="95"/>
    </row>
    <row r="96" spans="1:19" s="96" customFormat="1" ht="11.25" customHeight="1" hidden="1">
      <c r="A96" s="103"/>
      <c r="B96" s="159"/>
      <c r="C96" s="104"/>
      <c r="D96" s="424"/>
      <c r="E96" s="445"/>
      <c r="F96" s="100"/>
      <c r="G96" s="109"/>
      <c r="H96" s="100"/>
      <c r="I96" s="109"/>
      <c r="J96" s="100"/>
      <c r="K96" s="99"/>
      <c r="L96" s="100"/>
      <c r="M96" s="109"/>
      <c r="N96" s="100"/>
      <c r="O96" s="791"/>
      <c r="P96" s="801"/>
      <c r="Q96" s="130"/>
      <c r="R96" s="94"/>
      <c r="S96" s="95"/>
    </row>
    <row r="97" spans="1:19" s="96" customFormat="1" ht="24" customHeight="1">
      <c r="A97" s="103" t="s">
        <v>428</v>
      </c>
      <c r="B97" s="169" t="s">
        <v>417</v>
      </c>
      <c r="C97" s="170" t="s">
        <v>580</v>
      </c>
      <c r="D97" s="299">
        <v>5</v>
      </c>
      <c r="E97" s="282">
        <v>50</v>
      </c>
      <c r="F97" s="847">
        <f>E97*D97</f>
        <v>250</v>
      </c>
      <c r="G97" s="109">
        <v>12</v>
      </c>
      <c r="H97" s="100">
        <f>G97*D97</f>
        <v>60</v>
      </c>
      <c r="I97" s="109">
        <v>13</v>
      </c>
      <c r="J97" s="100">
        <f>I97*D97</f>
        <v>65</v>
      </c>
      <c r="K97" s="99">
        <v>13</v>
      </c>
      <c r="L97" s="100">
        <f>K97*D97</f>
        <v>65</v>
      </c>
      <c r="M97" s="109">
        <v>12</v>
      </c>
      <c r="N97" s="100">
        <f>M97*D97</f>
        <v>60</v>
      </c>
      <c r="O97" s="851" t="s">
        <v>791</v>
      </c>
      <c r="P97" s="801"/>
      <c r="Q97" s="471" t="s">
        <v>531</v>
      </c>
      <c r="R97" s="94" t="s">
        <v>131</v>
      </c>
      <c r="S97" s="95"/>
    </row>
    <row r="98" spans="1:19" s="96" customFormat="1" ht="11.25" customHeight="1">
      <c r="A98" s="103"/>
      <c r="B98" s="115" t="s">
        <v>429</v>
      </c>
      <c r="C98" s="160"/>
      <c r="D98" s="119"/>
      <c r="E98" s="118"/>
      <c r="F98" s="101">
        <f>SUM(F95:F97)</f>
        <v>250</v>
      </c>
      <c r="G98" s="118"/>
      <c r="H98" s="101">
        <v>60</v>
      </c>
      <c r="I98" s="285"/>
      <c r="J98" s="101">
        <v>65</v>
      </c>
      <c r="K98" s="370"/>
      <c r="L98" s="101">
        <v>65</v>
      </c>
      <c r="M98" s="285"/>
      <c r="N98" s="101">
        <v>60</v>
      </c>
      <c r="O98" s="851"/>
      <c r="P98" s="801"/>
      <c r="Q98" s="130"/>
      <c r="R98" s="94"/>
      <c r="S98" s="95"/>
    </row>
    <row r="99" spans="1:19" s="96" customFormat="1" ht="15.75" customHeight="1">
      <c r="A99" s="103" t="s">
        <v>101</v>
      </c>
      <c r="B99" s="136" t="s">
        <v>708</v>
      </c>
      <c r="C99" s="104"/>
      <c r="D99" s="424"/>
      <c r="E99" s="445"/>
      <c r="F99" s="100">
        <f>D99*E99</f>
        <v>0</v>
      </c>
      <c r="G99" s="109"/>
      <c r="H99" s="100">
        <f>G99*D99</f>
        <v>0</v>
      </c>
      <c r="I99" s="109"/>
      <c r="J99" s="100">
        <f>I99*D99</f>
        <v>0</v>
      </c>
      <c r="K99" s="99"/>
      <c r="L99" s="100">
        <f>K99*D99</f>
        <v>0</v>
      </c>
      <c r="M99" s="109"/>
      <c r="N99" s="100">
        <f>M99*D99</f>
        <v>0</v>
      </c>
      <c r="O99" s="851"/>
      <c r="P99" s="801"/>
      <c r="Q99" s="131"/>
      <c r="R99" s="94"/>
      <c r="S99" s="95"/>
    </row>
    <row r="100" spans="1:19" s="96" customFormat="1" ht="27.75" customHeight="1">
      <c r="A100" s="139" t="s">
        <v>749</v>
      </c>
      <c r="B100" s="123" t="s">
        <v>414</v>
      </c>
      <c r="C100" s="108" t="s">
        <v>580</v>
      </c>
      <c r="D100" s="464">
        <v>0.1353918</v>
      </c>
      <c r="E100" s="109">
        <v>500</v>
      </c>
      <c r="F100" s="847">
        <f>E100*D100</f>
        <v>67.69590000000001</v>
      </c>
      <c r="G100" s="109">
        <v>125</v>
      </c>
      <c r="H100" s="100">
        <f>G100*D100</f>
        <v>16.923975000000002</v>
      </c>
      <c r="I100" s="109">
        <v>125</v>
      </c>
      <c r="J100" s="100">
        <f>I100*D100</f>
        <v>16.923975000000002</v>
      </c>
      <c r="K100" s="99">
        <v>125</v>
      </c>
      <c r="L100" s="100">
        <f>K100*D100</f>
        <v>16.923975000000002</v>
      </c>
      <c r="M100" s="109">
        <v>125</v>
      </c>
      <c r="N100" s="100">
        <f>M100*D100</f>
        <v>16.923975000000002</v>
      </c>
      <c r="O100" s="851" t="s">
        <v>791</v>
      </c>
      <c r="P100" s="801"/>
      <c r="Q100" s="975" t="s">
        <v>698</v>
      </c>
      <c r="R100" s="111" t="s">
        <v>132</v>
      </c>
      <c r="S100" s="95"/>
    </row>
    <row r="101" spans="1:19" s="96" customFormat="1" ht="27.75" customHeight="1">
      <c r="A101" s="139" t="s">
        <v>782</v>
      </c>
      <c r="B101" s="123" t="s">
        <v>414</v>
      </c>
      <c r="C101" s="108" t="s">
        <v>580</v>
      </c>
      <c r="D101" s="464">
        <v>0.13</v>
      </c>
      <c r="E101" s="109">
        <v>500</v>
      </c>
      <c r="F101" s="100">
        <v>65</v>
      </c>
      <c r="G101" s="109">
        <f>E101</f>
        <v>500</v>
      </c>
      <c r="H101" s="99">
        <f>F101</f>
        <v>65</v>
      </c>
      <c r="I101" s="109"/>
      <c r="J101" s="100"/>
      <c r="K101" s="99"/>
      <c r="L101" s="100"/>
      <c r="M101" s="109"/>
      <c r="N101" s="100"/>
      <c r="O101" s="851" t="s">
        <v>605</v>
      </c>
      <c r="P101" s="801"/>
      <c r="Q101" s="977"/>
      <c r="R101" s="111"/>
      <c r="S101" s="287"/>
    </row>
    <row r="102" spans="1:20" s="113" customFormat="1" ht="13.5" customHeight="1">
      <c r="A102" s="106"/>
      <c r="B102" s="115" t="s">
        <v>540</v>
      </c>
      <c r="C102" s="160"/>
      <c r="D102" s="119"/>
      <c r="E102" s="118"/>
      <c r="F102" s="101">
        <f>SUM(F100:F101)</f>
        <v>132.6959</v>
      </c>
      <c r="G102" s="118"/>
      <c r="H102" s="101">
        <f>SUM(H100:H101)</f>
        <v>81.923975</v>
      </c>
      <c r="I102" s="285"/>
      <c r="J102" s="101">
        <f>SUM(J100:J100)</f>
        <v>16.923975000000002</v>
      </c>
      <c r="K102" s="370"/>
      <c r="L102" s="101">
        <f>SUM(L100:L100)</f>
        <v>16.923975000000002</v>
      </c>
      <c r="M102" s="285"/>
      <c r="N102" s="101">
        <f>SUM(N100:N100)</f>
        <v>16.923975000000002</v>
      </c>
      <c r="O102" s="852"/>
      <c r="P102" s="806"/>
      <c r="Q102" s="468"/>
      <c r="R102" s="392"/>
      <c r="S102" s="349"/>
      <c r="T102" s="122"/>
    </row>
    <row r="103" spans="1:19" s="96" customFormat="1" ht="25.5" customHeight="1">
      <c r="A103" s="103" t="s">
        <v>273</v>
      </c>
      <c r="B103" s="136" t="s">
        <v>102</v>
      </c>
      <c r="C103" s="104"/>
      <c r="D103" s="424"/>
      <c r="E103" s="445"/>
      <c r="F103" s="100">
        <f>D103*E103</f>
        <v>0</v>
      </c>
      <c r="G103" s="109"/>
      <c r="H103" s="100">
        <f>G103*D103</f>
        <v>0</v>
      </c>
      <c r="I103" s="109"/>
      <c r="J103" s="100">
        <f>I103*D103</f>
        <v>0</v>
      </c>
      <c r="K103" s="99"/>
      <c r="L103" s="100">
        <f>K103*D103</f>
        <v>0</v>
      </c>
      <c r="M103" s="109"/>
      <c r="N103" s="100">
        <f>M103*D103</f>
        <v>0</v>
      </c>
      <c r="O103" s="851"/>
      <c r="P103" s="801"/>
      <c r="Q103" s="131"/>
      <c r="R103" s="94"/>
      <c r="S103" s="95"/>
    </row>
    <row r="104" spans="1:21" s="96" customFormat="1" ht="12.75" customHeight="1">
      <c r="A104" s="162"/>
      <c r="B104" s="136" t="s">
        <v>265</v>
      </c>
      <c r="C104" s="104"/>
      <c r="D104" s="424"/>
      <c r="E104" s="445"/>
      <c r="F104" s="100">
        <f>D104*E104</f>
        <v>0</v>
      </c>
      <c r="G104" s="282"/>
      <c r="H104" s="100">
        <f>G104*D104</f>
        <v>0</v>
      </c>
      <c r="I104" s="109"/>
      <c r="J104" s="100">
        <f>I104*D104</f>
        <v>0</v>
      </c>
      <c r="K104" s="99"/>
      <c r="L104" s="100">
        <f>K104*D104</f>
        <v>0</v>
      </c>
      <c r="M104" s="109"/>
      <c r="N104" s="100">
        <f>M104*D104</f>
        <v>0</v>
      </c>
      <c r="O104" s="851"/>
      <c r="P104" s="801"/>
      <c r="Q104" s="131"/>
      <c r="R104" s="94"/>
      <c r="S104" s="95"/>
      <c r="U104" s="275"/>
    </row>
    <row r="105" spans="1:21" s="96" customFormat="1" ht="26.25" customHeight="1">
      <c r="A105" s="120">
        <v>1</v>
      </c>
      <c r="B105" s="164" t="s">
        <v>361</v>
      </c>
      <c r="C105" s="108" t="s">
        <v>580</v>
      </c>
      <c r="D105" s="602">
        <v>0.15</v>
      </c>
      <c r="E105" s="282">
        <v>24140</v>
      </c>
      <c r="F105" s="847">
        <f>D105*E105</f>
        <v>3621</v>
      </c>
      <c r="G105" s="282">
        <f>E105/4</f>
        <v>6035</v>
      </c>
      <c r="H105" s="100">
        <f>G105*D105</f>
        <v>905.25</v>
      </c>
      <c r="I105" s="165">
        <f>E105/4</f>
        <v>6035</v>
      </c>
      <c r="J105" s="100">
        <f>I105*D105</f>
        <v>905.25</v>
      </c>
      <c r="K105" s="172">
        <f>E105/4</f>
        <v>6035</v>
      </c>
      <c r="L105" s="100">
        <f>K105*D105</f>
        <v>905.25</v>
      </c>
      <c r="M105" s="165">
        <f>E105/4</f>
        <v>6035</v>
      </c>
      <c r="N105" s="100">
        <f>M105*D105</f>
        <v>905.25</v>
      </c>
      <c r="O105" s="851" t="s">
        <v>791</v>
      </c>
      <c r="P105" s="801"/>
      <c r="Q105" s="975" t="s">
        <v>165</v>
      </c>
      <c r="R105" s="972" t="s">
        <v>133</v>
      </c>
      <c r="S105" s="287"/>
      <c r="U105" s="276"/>
    </row>
    <row r="106" spans="1:21" s="96" customFormat="1" ht="26.25" customHeight="1">
      <c r="A106" s="120">
        <v>2</v>
      </c>
      <c r="B106" s="164" t="s">
        <v>362</v>
      </c>
      <c r="C106" s="108" t="s">
        <v>580</v>
      </c>
      <c r="D106" s="603">
        <v>0.5</v>
      </c>
      <c r="E106" s="109">
        <v>750</v>
      </c>
      <c r="F106" s="847">
        <f>D106*E106</f>
        <v>375</v>
      </c>
      <c r="G106" s="109">
        <v>187</v>
      </c>
      <c r="H106" s="100">
        <f>G106*D106</f>
        <v>93.5</v>
      </c>
      <c r="I106" s="165">
        <v>188</v>
      </c>
      <c r="J106" s="100">
        <f>I106*D106</f>
        <v>94</v>
      </c>
      <c r="K106" s="172">
        <v>188</v>
      </c>
      <c r="L106" s="100">
        <f>K106*D106</f>
        <v>94</v>
      </c>
      <c r="M106" s="165">
        <v>187</v>
      </c>
      <c r="N106" s="100">
        <f>M106*D106</f>
        <v>93.5</v>
      </c>
      <c r="O106" s="851" t="s">
        <v>791</v>
      </c>
      <c r="P106" s="801"/>
      <c r="Q106" s="977"/>
      <c r="R106" s="974"/>
      <c r="S106" s="287"/>
      <c r="U106" s="275"/>
    </row>
    <row r="107" spans="1:21" s="113" customFormat="1" ht="12.75" customHeight="1">
      <c r="A107" s="106"/>
      <c r="B107" s="166" t="s">
        <v>106</v>
      </c>
      <c r="C107" s="127"/>
      <c r="D107" s="138"/>
      <c r="E107" s="129"/>
      <c r="F107" s="357">
        <f>SUM(F105:F106)</f>
        <v>3996</v>
      </c>
      <c r="G107" s="129"/>
      <c r="H107" s="357">
        <f>SUM(H105:H106)</f>
        <v>998.75</v>
      </c>
      <c r="I107" s="381"/>
      <c r="J107" s="357">
        <f>SUM(J105:J106)</f>
        <v>999.25</v>
      </c>
      <c r="K107" s="382"/>
      <c r="L107" s="357">
        <f>SUM(L105:L106)</f>
        <v>999.25</v>
      </c>
      <c r="M107" s="381"/>
      <c r="N107" s="357">
        <f>SUM(N105:N106)</f>
        <v>998.75</v>
      </c>
      <c r="O107" s="851"/>
      <c r="P107" s="801"/>
      <c r="Q107" s="130"/>
      <c r="R107" s="121"/>
      <c r="S107" s="112"/>
      <c r="T107" s="122"/>
      <c r="U107" s="277"/>
    </row>
    <row r="108" spans="1:29" s="96" customFormat="1" ht="12.75" customHeight="1">
      <c r="A108" s="162"/>
      <c r="B108" s="136" t="s">
        <v>266</v>
      </c>
      <c r="C108" s="104"/>
      <c r="D108" s="424"/>
      <c r="E108" s="445"/>
      <c r="F108" s="100">
        <f>D108*E108</f>
        <v>0</v>
      </c>
      <c r="G108" s="109"/>
      <c r="H108" s="100">
        <f>G108*D108</f>
        <v>0</v>
      </c>
      <c r="I108" s="109"/>
      <c r="J108" s="100">
        <f>I108*D108</f>
        <v>0</v>
      </c>
      <c r="K108" s="99"/>
      <c r="L108" s="100">
        <f>K108*D108</f>
        <v>0</v>
      </c>
      <c r="M108" s="109"/>
      <c r="N108" s="100">
        <f>M108*D108</f>
        <v>0</v>
      </c>
      <c r="O108" s="851"/>
      <c r="P108" s="807"/>
      <c r="Q108" s="130"/>
      <c r="R108" s="94"/>
      <c r="S108" s="95"/>
      <c r="U108" s="275"/>
      <c r="V108" s="1024"/>
      <c r="W108" s="1024"/>
      <c r="X108" s="1024"/>
      <c r="Y108" s="1024"/>
      <c r="Z108" s="1024"/>
      <c r="AA108" s="1024"/>
      <c r="AB108" s="1024"/>
      <c r="AC108" s="1024"/>
    </row>
    <row r="109" spans="1:21" s="96" customFormat="1" ht="24" customHeight="1">
      <c r="A109" s="120">
        <v>3</v>
      </c>
      <c r="B109" s="164" t="s">
        <v>361</v>
      </c>
      <c r="C109" s="108" t="s">
        <v>580</v>
      </c>
      <c r="D109" s="602">
        <v>0.15</v>
      </c>
      <c r="E109" s="282">
        <v>24130</v>
      </c>
      <c r="F109" s="847">
        <f>D109*E109</f>
        <v>3619.5</v>
      </c>
      <c r="G109" s="282">
        <v>6032</v>
      </c>
      <c r="H109" s="100">
        <f>G109*D109</f>
        <v>904.8</v>
      </c>
      <c r="I109" s="109">
        <v>6033</v>
      </c>
      <c r="J109" s="100">
        <f>I109*D109</f>
        <v>904.9499999999999</v>
      </c>
      <c r="K109" s="99">
        <v>6033</v>
      </c>
      <c r="L109" s="100">
        <f>K109*D109</f>
        <v>904.9499999999999</v>
      </c>
      <c r="M109" s="109">
        <v>6032</v>
      </c>
      <c r="N109" s="100">
        <f>M109*D109</f>
        <v>904.8</v>
      </c>
      <c r="O109" s="851" t="s">
        <v>791</v>
      </c>
      <c r="P109" s="807"/>
      <c r="Q109" s="975" t="s">
        <v>165</v>
      </c>
      <c r="R109" s="972" t="s">
        <v>133</v>
      </c>
      <c r="S109" s="287"/>
      <c r="U109" s="275"/>
    </row>
    <row r="110" spans="1:21" s="96" customFormat="1" ht="24" customHeight="1">
      <c r="A110" s="120">
        <v>4</v>
      </c>
      <c r="B110" s="164" t="s">
        <v>362</v>
      </c>
      <c r="C110" s="108" t="s">
        <v>580</v>
      </c>
      <c r="D110" s="604">
        <v>0.5</v>
      </c>
      <c r="E110" s="109">
        <v>750</v>
      </c>
      <c r="F110" s="847">
        <f>D110*E110</f>
        <v>375</v>
      </c>
      <c r="G110" s="109">
        <v>187</v>
      </c>
      <c r="H110" s="100">
        <f>G110*D110</f>
        <v>93.5</v>
      </c>
      <c r="I110" s="109">
        <v>188</v>
      </c>
      <c r="J110" s="100">
        <f>I110*D110</f>
        <v>94</v>
      </c>
      <c r="K110" s="99">
        <v>188</v>
      </c>
      <c r="L110" s="100">
        <f>K110*D110</f>
        <v>94</v>
      </c>
      <c r="M110" s="109">
        <v>187</v>
      </c>
      <c r="N110" s="100">
        <f>M110*D110</f>
        <v>93.5</v>
      </c>
      <c r="O110" s="851" t="s">
        <v>791</v>
      </c>
      <c r="P110" s="807"/>
      <c r="Q110" s="977"/>
      <c r="R110" s="974"/>
      <c r="S110" s="287"/>
      <c r="U110" s="275"/>
    </row>
    <row r="111" spans="1:21" s="113" customFormat="1" ht="12.75" customHeight="1">
      <c r="A111" s="106"/>
      <c r="B111" s="166" t="s">
        <v>107</v>
      </c>
      <c r="C111" s="127"/>
      <c r="D111" s="138"/>
      <c r="E111" s="129"/>
      <c r="F111" s="357">
        <f>SUM(F109:F110)</f>
        <v>3994.5</v>
      </c>
      <c r="G111" s="129"/>
      <c r="H111" s="357">
        <f>SUM(H109:H110)</f>
        <v>998.3</v>
      </c>
      <c r="I111" s="381"/>
      <c r="J111" s="357">
        <f>SUM(J109:J110)</f>
        <v>998.9499999999999</v>
      </c>
      <c r="K111" s="382"/>
      <c r="L111" s="357">
        <f>SUM(L109:L110)</f>
        <v>998.9499999999999</v>
      </c>
      <c r="M111" s="381"/>
      <c r="N111" s="357">
        <f>SUM(N109:N110)</f>
        <v>998.3</v>
      </c>
      <c r="O111" s="851"/>
      <c r="P111" s="807"/>
      <c r="Q111" s="167"/>
      <c r="R111" s="121"/>
      <c r="S111" s="286"/>
      <c r="T111" s="122"/>
      <c r="U111" s="277"/>
    </row>
    <row r="112" spans="1:21" s="113" customFormat="1" ht="12.75" customHeight="1">
      <c r="A112" s="106"/>
      <c r="B112" s="115" t="s">
        <v>108</v>
      </c>
      <c r="C112" s="160"/>
      <c r="D112" s="119"/>
      <c r="E112" s="118"/>
      <c r="F112" s="101">
        <f>F107+F111</f>
        <v>7990.5</v>
      </c>
      <c r="G112" s="285"/>
      <c r="H112" s="161">
        <f aca="true" t="shared" si="5" ref="H112:N112">H107+H111</f>
        <v>1997.05</v>
      </c>
      <c r="I112" s="285"/>
      <c r="J112" s="161">
        <f t="shared" si="5"/>
        <v>1998.1999999999998</v>
      </c>
      <c r="K112" s="370"/>
      <c r="L112" s="161">
        <f t="shared" si="5"/>
        <v>1998.1999999999998</v>
      </c>
      <c r="M112" s="285"/>
      <c r="N112" s="161">
        <f t="shared" si="5"/>
        <v>1997.05</v>
      </c>
      <c r="O112" s="851"/>
      <c r="P112" s="807"/>
      <c r="Q112" s="167"/>
      <c r="R112" s="121"/>
      <c r="S112" s="286"/>
      <c r="T112" s="122"/>
      <c r="U112" s="277"/>
    </row>
    <row r="113" spans="1:21" s="113" customFormat="1" ht="12.75" customHeight="1">
      <c r="A113" s="106"/>
      <c r="B113" s="133" t="s">
        <v>109</v>
      </c>
      <c r="C113" s="168"/>
      <c r="D113" s="425"/>
      <c r="E113" s="135"/>
      <c r="F113" s="134">
        <f>F98+F102+F112</f>
        <v>8373.1959</v>
      </c>
      <c r="G113" s="222"/>
      <c r="H113" s="395">
        <f>H98+H102+H112</f>
        <v>2138.973975</v>
      </c>
      <c r="I113" s="222"/>
      <c r="J113" s="395">
        <f>J98+J102+J112</f>
        <v>2080.123975</v>
      </c>
      <c r="K113" s="223"/>
      <c r="L113" s="395">
        <f>L98+L102+L112</f>
        <v>2080.123975</v>
      </c>
      <c r="M113" s="222"/>
      <c r="N113" s="395">
        <f>N98+N102+N112</f>
        <v>2073.973975</v>
      </c>
      <c r="O113" s="851"/>
      <c r="P113" s="807"/>
      <c r="Q113" s="167"/>
      <c r="R113" s="121"/>
      <c r="S113" s="112"/>
      <c r="T113" s="122"/>
      <c r="U113" s="277"/>
    </row>
    <row r="114" spans="1:21" s="113" customFormat="1" ht="12.75" customHeight="1">
      <c r="A114" s="103" t="s">
        <v>269</v>
      </c>
      <c r="B114" s="169" t="s">
        <v>249</v>
      </c>
      <c r="C114" s="170"/>
      <c r="D114" s="299"/>
      <c r="E114" s="282"/>
      <c r="F114" s="100">
        <f>D114*E114</f>
        <v>0</v>
      </c>
      <c r="G114" s="109"/>
      <c r="H114" s="100">
        <f>G114*D114</f>
        <v>0</v>
      </c>
      <c r="I114" s="109"/>
      <c r="J114" s="100">
        <f>I114*D114</f>
        <v>0</v>
      </c>
      <c r="K114" s="99"/>
      <c r="L114" s="100">
        <f>K114*D114</f>
        <v>0</v>
      </c>
      <c r="M114" s="109"/>
      <c r="N114" s="100">
        <f aca="true" t="shared" si="6" ref="N114:N119">M114*D114</f>
        <v>0</v>
      </c>
      <c r="O114" s="851"/>
      <c r="P114" s="807"/>
      <c r="Q114" s="167"/>
      <c r="R114" s="121"/>
      <c r="S114" s="286"/>
      <c r="T114" s="122"/>
      <c r="U114" s="277"/>
    </row>
    <row r="115" spans="1:21" s="113" customFormat="1" ht="24" customHeight="1">
      <c r="A115" s="139" t="s">
        <v>415</v>
      </c>
      <c r="B115" s="123" t="s">
        <v>363</v>
      </c>
      <c r="C115" s="170" t="s">
        <v>580</v>
      </c>
      <c r="D115" s="299">
        <v>150</v>
      </c>
      <c r="E115" s="282">
        <v>1</v>
      </c>
      <c r="F115" s="847">
        <v>150</v>
      </c>
      <c r="G115" s="176"/>
      <c r="H115" s="175"/>
      <c r="I115" s="176"/>
      <c r="J115" s="175"/>
      <c r="K115" s="174"/>
      <c r="L115" s="175"/>
      <c r="M115" s="176">
        <v>1</v>
      </c>
      <c r="N115" s="175">
        <f t="shared" si="6"/>
        <v>150</v>
      </c>
      <c r="O115" s="851" t="s">
        <v>791</v>
      </c>
      <c r="P115" s="807"/>
      <c r="Q115" s="471" t="s">
        <v>500</v>
      </c>
      <c r="R115" s="132" t="s">
        <v>134</v>
      </c>
      <c r="S115" s="112"/>
      <c r="U115" s="277"/>
    </row>
    <row r="116" spans="1:21" s="113" customFormat="1" ht="24.75" customHeight="1">
      <c r="A116" s="139" t="s">
        <v>416</v>
      </c>
      <c r="B116" s="123" t="s">
        <v>412</v>
      </c>
      <c r="C116" s="170" t="s">
        <v>580</v>
      </c>
      <c r="D116" s="426">
        <v>0.0016</v>
      </c>
      <c r="E116" s="282">
        <v>150000</v>
      </c>
      <c r="F116" s="847">
        <f>E116*D116</f>
        <v>240</v>
      </c>
      <c r="G116" s="176">
        <v>37500</v>
      </c>
      <c r="H116" s="175">
        <f>G116*D116</f>
        <v>60</v>
      </c>
      <c r="I116" s="176">
        <v>37500</v>
      </c>
      <c r="J116" s="175">
        <f>I116*D116</f>
        <v>60</v>
      </c>
      <c r="K116" s="174">
        <v>37500</v>
      </c>
      <c r="L116" s="175">
        <f>K116*D116</f>
        <v>60</v>
      </c>
      <c r="M116" s="176">
        <v>37500</v>
      </c>
      <c r="N116" s="175">
        <f t="shared" si="6"/>
        <v>60</v>
      </c>
      <c r="O116" s="851" t="s">
        <v>791</v>
      </c>
      <c r="P116" s="807"/>
      <c r="Q116" s="827"/>
      <c r="R116" s="132" t="s">
        <v>135</v>
      </c>
      <c r="S116" s="112"/>
      <c r="U116" s="277"/>
    </row>
    <row r="117" spans="1:21" s="113" customFormat="1" ht="26.25" customHeight="1">
      <c r="A117" s="139" t="s">
        <v>418</v>
      </c>
      <c r="B117" s="362" t="s">
        <v>421</v>
      </c>
      <c r="C117" s="363" t="s">
        <v>580</v>
      </c>
      <c r="D117" s="427">
        <v>0.014</v>
      </c>
      <c r="E117" s="454">
        <v>12870</v>
      </c>
      <c r="F117" s="847">
        <f>E117*D117</f>
        <v>180.18</v>
      </c>
      <c r="G117" s="176">
        <f>E117/4</f>
        <v>3217.5</v>
      </c>
      <c r="H117" s="175">
        <f>G117*D117</f>
        <v>45.045</v>
      </c>
      <c r="I117" s="176">
        <f>E117/4</f>
        <v>3217.5</v>
      </c>
      <c r="J117" s="175">
        <f>I117*D117</f>
        <v>45.045</v>
      </c>
      <c r="K117" s="174">
        <f>E117/4</f>
        <v>3217.5</v>
      </c>
      <c r="L117" s="175">
        <f>K117*D117</f>
        <v>45.045</v>
      </c>
      <c r="M117" s="176">
        <f>E117/4</f>
        <v>3217.5</v>
      </c>
      <c r="N117" s="175">
        <f t="shared" si="6"/>
        <v>45.045</v>
      </c>
      <c r="O117" s="851" t="s">
        <v>791</v>
      </c>
      <c r="P117" s="807"/>
      <c r="Q117" s="1026" t="s">
        <v>699</v>
      </c>
      <c r="R117" s="975" t="s">
        <v>136</v>
      </c>
      <c r="S117" s="112"/>
      <c r="U117" s="277"/>
    </row>
    <row r="118" spans="1:21" s="113" customFormat="1" ht="22.5" customHeight="1">
      <c r="A118" s="139" t="s">
        <v>419</v>
      </c>
      <c r="B118" s="362" t="s">
        <v>422</v>
      </c>
      <c r="C118" s="363" t="s">
        <v>580</v>
      </c>
      <c r="D118" s="428">
        <v>0.5</v>
      </c>
      <c r="E118" s="454">
        <v>100</v>
      </c>
      <c r="F118" s="848">
        <v>50</v>
      </c>
      <c r="G118" s="176"/>
      <c r="H118" s="175"/>
      <c r="I118" s="176"/>
      <c r="J118" s="175"/>
      <c r="K118" s="174"/>
      <c r="L118" s="175"/>
      <c r="M118" s="176">
        <v>100</v>
      </c>
      <c r="N118" s="175">
        <f t="shared" si="6"/>
        <v>50</v>
      </c>
      <c r="O118" s="851" t="s">
        <v>791</v>
      </c>
      <c r="P118" s="807"/>
      <c r="Q118" s="1026"/>
      <c r="R118" s="977"/>
      <c r="S118" s="112"/>
      <c r="U118" s="277"/>
    </row>
    <row r="119" spans="1:21" s="113" customFormat="1" ht="24.75" customHeight="1">
      <c r="A119" s="139" t="s">
        <v>420</v>
      </c>
      <c r="B119" s="361" t="s">
        <v>410</v>
      </c>
      <c r="C119" s="94" t="s">
        <v>580</v>
      </c>
      <c r="D119" s="299">
        <v>50.02</v>
      </c>
      <c r="E119" s="282">
        <v>1</v>
      </c>
      <c r="F119" s="848">
        <f>E119*D119</f>
        <v>50.02</v>
      </c>
      <c r="G119" s="176"/>
      <c r="H119" s="175"/>
      <c r="I119" s="176"/>
      <c r="J119" s="175"/>
      <c r="K119" s="174"/>
      <c r="L119" s="175"/>
      <c r="M119" s="176">
        <v>1</v>
      </c>
      <c r="N119" s="175">
        <f t="shared" si="6"/>
        <v>50.02</v>
      </c>
      <c r="O119" s="851" t="s">
        <v>791</v>
      </c>
      <c r="P119" s="807"/>
      <c r="Q119" s="975" t="s">
        <v>500</v>
      </c>
      <c r="R119" s="132" t="s">
        <v>137</v>
      </c>
      <c r="S119" s="112"/>
      <c r="U119" s="277"/>
    </row>
    <row r="120" spans="1:21" s="113" customFormat="1" ht="24.75" customHeight="1">
      <c r="A120" s="139" t="s">
        <v>22</v>
      </c>
      <c r="B120" s="123" t="s">
        <v>23</v>
      </c>
      <c r="C120" s="94" t="s">
        <v>580</v>
      </c>
      <c r="D120" s="428">
        <v>10.92</v>
      </c>
      <c r="E120" s="454">
        <v>10</v>
      </c>
      <c r="F120" s="175">
        <v>109.2</v>
      </c>
      <c r="G120" s="176">
        <f aca="true" t="shared" si="7" ref="G120:H122">E120</f>
        <v>10</v>
      </c>
      <c r="H120" s="174">
        <f t="shared" si="7"/>
        <v>109.2</v>
      </c>
      <c r="I120" s="176"/>
      <c r="J120" s="175"/>
      <c r="K120" s="174"/>
      <c r="L120" s="175"/>
      <c r="M120" s="176"/>
      <c r="N120" s="175"/>
      <c r="O120" s="851" t="s">
        <v>605</v>
      </c>
      <c r="P120" s="807"/>
      <c r="Q120" s="976"/>
      <c r="R120" s="132"/>
      <c r="S120" s="112"/>
      <c r="U120" s="277"/>
    </row>
    <row r="121" spans="1:21" s="113" customFormat="1" ht="24.75" customHeight="1">
      <c r="A121" s="139" t="s">
        <v>24</v>
      </c>
      <c r="B121" s="123" t="s">
        <v>25</v>
      </c>
      <c r="C121" s="94" t="s">
        <v>580</v>
      </c>
      <c r="D121" s="428">
        <v>0.3</v>
      </c>
      <c r="E121" s="454">
        <v>50</v>
      </c>
      <c r="F121" s="175">
        <v>15</v>
      </c>
      <c r="G121" s="176">
        <f t="shared" si="7"/>
        <v>50</v>
      </c>
      <c r="H121" s="174">
        <f t="shared" si="7"/>
        <v>15</v>
      </c>
      <c r="I121" s="176"/>
      <c r="J121" s="175"/>
      <c r="K121" s="174"/>
      <c r="L121" s="175"/>
      <c r="M121" s="176"/>
      <c r="N121" s="175"/>
      <c r="O121" s="851" t="s">
        <v>605</v>
      </c>
      <c r="P121" s="807"/>
      <c r="Q121" s="976"/>
      <c r="R121" s="132"/>
      <c r="S121" s="112"/>
      <c r="U121" s="277"/>
    </row>
    <row r="122" spans="1:21" s="113" customFormat="1" ht="24.75" customHeight="1">
      <c r="A122" s="139" t="s">
        <v>26</v>
      </c>
      <c r="B122" s="123" t="s">
        <v>27</v>
      </c>
      <c r="C122" s="94" t="s">
        <v>580</v>
      </c>
      <c r="D122" s="428">
        <v>2.7</v>
      </c>
      <c r="E122" s="454">
        <v>50</v>
      </c>
      <c r="F122" s="175">
        <v>135</v>
      </c>
      <c r="G122" s="165">
        <f t="shared" si="7"/>
        <v>50</v>
      </c>
      <c r="H122" s="174">
        <f t="shared" si="7"/>
        <v>135</v>
      </c>
      <c r="I122" s="176"/>
      <c r="J122" s="175"/>
      <c r="K122" s="174"/>
      <c r="L122" s="175"/>
      <c r="M122" s="176"/>
      <c r="N122" s="175"/>
      <c r="O122" s="851" t="s">
        <v>605</v>
      </c>
      <c r="P122" s="807"/>
      <c r="Q122" s="977"/>
      <c r="R122" s="132"/>
      <c r="S122" s="112"/>
      <c r="U122" s="277"/>
    </row>
    <row r="123" spans="1:21" s="113" customFormat="1" ht="15.75" customHeight="1" thickBot="1">
      <c r="A123" s="178"/>
      <c r="B123" s="140" t="s">
        <v>110</v>
      </c>
      <c r="C123" s="179"/>
      <c r="D123" s="429"/>
      <c r="E123" s="143"/>
      <c r="F123" s="180">
        <f>SUM(F115:F122)</f>
        <v>929.4000000000001</v>
      </c>
      <c r="G123" s="143"/>
      <c r="H123" s="180">
        <f>SUM(H115:H122)</f>
        <v>364.245</v>
      </c>
      <c r="I123" s="380"/>
      <c r="J123" s="180">
        <f>SUM(J115:J119)</f>
        <v>105.045</v>
      </c>
      <c r="K123" s="385"/>
      <c r="L123" s="180">
        <f>SUM(L115:L119)</f>
        <v>105.045</v>
      </c>
      <c r="M123" s="380"/>
      <c r="N123" s="180">
        <f>SUM(N115:N119)</f>
        <v>355.065</v>
      </c>
      <c r="O123" s="791"/>
      <c r="P123" s="807"/>
      <c r="Q123" s="130"/>
      <c r="R123" s="121"/>
      <c r="S123" s="112"/>
      <c r="T123" s="122"/>
      <c r="U123" s="277"/>
    </row>
    <row r="124" spans="1:21" s="96" customFormat="1" ht="15.75" customHeight="1" thickBot="1">
      <c r="A124" s="144" t="s">
        <v>111</v>
      </c>
      <c r="B124" s="145"/>
      <c r="C124" s="146"/>
      <c r="D124" s="422"/>
      <c r="E124" s="452"/>
      <c r="F124" s="147">
        <f>F123+F113</f>
        <v>9302.5959</v>
      </c>
      <c r="G124" s="148"/>
      <c r="H124" s="147">
        <f>H123+H113</f>
        <v>2503.218975</v>
      </c>
      <c r="I124" s="379"/>
      <c r="J124" s="147">
        <f>J123+J113</f>
        <v>2185.168975</v>
      </c>
      <c r="K124" s="378"/>
      <c r="L124" s="147">
        <f>L123+L113</f>
        <v>2185.168975</v>
      </c>
      <c r="M124" s="379"/>
      <c r="N124" s="147">
        <f>N123+N113</f>
        <v>2429.038975</v>
      </c>
      <c r="O124" s="791"/>
      <c r="P124" s="807"/>
      <c r="Q124" s="469"/>
      <c r="R124" s="94"/>
      <c r="S124" s="95"/>
      <c r="U124" s="275"/>
    </row>
    <row r="125" spans="1:21" ht="18" customHeight="1">
      <c r="A125" s="85" t="s">
        <v>647</v>
      </c>
      <c r="B125" s="86"/>
      <c r="C125" s="86"/>
      <c r="D125" s="430"/>
      <c r="E125" s="455"/>
      <c r="F125" s="358"/>
      <c r="G125" s="183"/>
      <c r="H125" s="182"/>
      <c r="I125" s="183"/>
      <c r="J125" s="182"/>
      <c r="K125" s="181"/>
      <c r="L125" s="182"/>
      <c r="M125" s="183"/>
      <c r="N125" s="182"/>
      <c r="O125" s="797"/>
      <c r="P125" s="284"/>
      <c r="Q125" s="474"/>
      <c r="R125" s="184"/>
      <c r="S125" s="185"/>
      <c r="U125" s="614"/>
    </row>
    <row r="126" spans="1:21" s="113" customFormat="1" ht="15.75" customHeight="1">
      <c r="A126" s="103" t="s">
        <v>112</v>
      </c>
      <c r="B126" s="186" t="s">
        <v>590</v>
      </c>
      <c r="C126" s="171"/>
      <c r="D126" s="415"/>
      <c r="E126" s="109"/>
      <c r="F126" s="100">
        <f>D126*E126</f>
        <v>0</v>
      </c>
      <c r="G126" s="188"/>
      <c r="H126" s="100">
        <f>G126*D126</f>
        <v>0</v>
      </c>
      <c r="I126" s="188"/>
      <c r="J126" s="100">
        <f>I126*D126</f>
        <v>0</v>
      </c>
      <c r="K126" s="187"/>
      <c r="L126" s="100">
        <f>K126*D126</f>
        <v>0</v>
      </c>
      <c r="M126" s="188"/>
      <c r="N126" s="100">
        <f>M126*D126</f>
        <v>0</v>
      </c>
      <c r="O126" s="791"/>
      <c r="P126" s="807"/>
      <c r="Q126" s="235"/>
      <c r="R126" s="111"/>
      <c r="S126" s="112"/>
      <c r="U126" s="277"/>
    </row>
    <row r="127" spans="1:19" s="194" customFormat="1" ht="42.75" customHeight="1">
      <c r="A127" s="103" t="s">
        <v>113</v>
      </c>
      <c r="B127" s="189" t="s">
        <v>207</v>
      </c>
      <c r="C127" s="190"/>
      <c r="D127" s="431"/>
      <c r="E127" s="456"/>
      <c r="F127" s="100">
        <f>D127*E127</f>
        <v>0</v>
      </c>
      <c r="G127" s="188"/>
      <c r="H127" s="100">
        <f>G127*D127</f>
        <v>0</v>
      </c>
      <c r="I127" s="191"/>
      <c r="J127" s="100">
        <f>I127*D127</f>
        <v>0</v>
      </c>
      <c r="K127" s="283"/>
      <c r="L127" s="100">
        <f>K127*D127</f>
        <v>0</v>
      </c>
      <c r="M127" s="191"/>
      <c r="N127" s="100">
        <f>M127*D127</f>
        <v>0</v>
      </c>
      <c r="O127" s="791"/>
      <c r="P127" s="807"/>
      <c r="Q127" s="235"/>
      <c r="R127" s="192"/>
      <c r="S127" s="193"/>
    </row>
    <row r="128" spans="1:19" s="194" customFormat="1" ht="12.75" customHeight="1">
      <c r="A128" s="103" t="s">
        <v>208</v>
      </c>
      <c r="B128" s="136" t="s">
        <v>209</v>
      </c>
      <c r="C128" s="195"/>
      <c r="D128" s="432"/>
      <c r="E128" s="109"/>
      <c r="F128" s="100">
        <f>D128*E128</f>
        <v>0</v>
      </c>
      <c r="G128" s="188"/>
      <c r="H128" s="100">
        <f>G128*D128</f>
        <v>0</v>
      </c>
      <c r="I128" s="188">
        <v>0</v>
      </c>
      <c r="J128" s="100">
        <f>I128*D128</f>
        <v>0</v>
      </c>
      <c r="K128" s="187"/>
      <c r="L128" s="100"/>
      <c r="M128" s="188"/>
      <c r="N128" s="100">
        <f>M128*D128</f>
        <v>0</v>
      </c>
      <c r="O128" s="791"/>
      <c r="P128" s="807"/>
      <c r="Q128" s="235"/>
      <c r="R128" s="192"/>
      <c r="S128" s="193"/>
    </row>
    <row r="129" spans="1:19" s="197" customFormat="1" ht="60" customHeight="1">
      <c r="A129" s="336" t="s">
        <v>749</v>
      </c>
      <c r="B129" s="337" t="s">
        <v>376</v>
      </c>
      <c r="C129" s="338" t="s">
        <v>580</v>
      </c>
      <c r="D129" s="433">
        <v>769.2</v>
      </c>
      <c r="E129" s="595">
        <v>2</v>
      </c>
      <c r="F129" s="847">
        <f>E129*D129</f>
        <v>1538.4</v>
      </c>
      <c r="G129" s="109"/>
      <c r="H129" s="100"/>
      <c r="I129" s="109"/>
      <c r="J129" s="100"/>
      <c r="K129" s="658">
        <f>E129</f>
        <v>2</v>
      </c>
      <c r="L129" s="100">
        <f>K129*D129</f>
        <v>1538.4</v>
      </c>
      <c r="M129" s="109"/>
      <c r="N129" s="100"/>
      <c r="O129" s="791" t="s">
        <v>602</v>
      </c>
      <c r="P129" s="807"/>
      <c r="Q129" s="975" t="s">
        <v>700</v>
      </c>
      <c r="R129" s="975" t="s">
        <v>138</v>
      </c>
      <c r="S129" s="196"/>
    </row>
    <row r="130" spans="1:21" s="197" customFormat="1" ht="32.25" customHeight="1">
      <c r="A130" s="336" t="s">
        <v>782</v>
      </c>
      <c r="B130" s="339" t="s">
        <v>377</v>
      </c>
      <c r="C130" s="338" t="s">
        <v>580</v>
      </c>
      <c r="D130" s="433">
        <v>53.8</v>
      </c>
      <c r="E130" s="595">
        <v>3</v>
      </c>
      <c r="F130" s="847">
        <f>E130*D130</f>
        <v>161.39999999999998</v>
      </c>
      <c r="G130" s="109"/>
      <c r="H130" s="100"/>
      <c r="I130" s="109"/>
      <c r="J130" s="100"/>
      <c r="K130" s="371">
        <f>E130</f>
        <v>3</v>
      </c>
      <c r="L130" s="100">
        <f>K130*D130</f>
        <v>161.39999999999998</v>
      </c>
      <c r="M130" s="109"/>
      <c r="N130" s="100"/>
      <c r="O130" s="791" t="s">
        <v>602</v>
      </c>
      <c r="P130" s="807"/>
      <c r="Q130" s="976"/>
      <c r="R130" s="976"/>
      <c r="S130" s="288"/>
      <c r="U130" s="276"/>
    </row>
    <row r="131" spans="1:19" s="197" customFormat="1" ht="53.25" customHeight="1">
      <c r="A131" s="336" t="s">
        <v>783</v>
      </c>
      <c r="B131" s="340" t="s">
        <v>378</v>
      </c>
      <c r="C131" s="341" t="s">
        <v>580</v>
      </c>
      <c r="D131" s="433">
        <v>6.13</v>
      </c>
      <c r="E131" s="595">
        <v>4</v>
      </c>
      <c r="F131" s="847">
        <v>24.52</v>
      </c>
      <c r="G131" s="109">
        <v>2</v>
      </c>
      <c r="H131" s="100">
        <f>G131*D131</f>
        <v>12.26</v>
      </c>
      <c r="I131" s="109"/>
      <c r="J131" s="100"/>
      <c r="K131" s="371">
        <v>2</v>
      </c>
      <c r="L131" s="100">
        <f>K131*D131</f>
        <v>12.26</v>
      </c>
      <c r="M131" s="109"/>
      <c r="N131" s="100"/>
      <c r="O131" s="851" t="s">
        <v>792</v>
      </c>
      <c r="P131" s="807"/>
      <c r="Q131" s="976"/>
      <c r="R131" s="976"/>
      <c r="S131" s="196"/>
    </row>
    <row r="132" spans="1:19" s="197" customFormat="1" ht="24" customHeight="1">
      <c r="A132" s="336" t="s">
        <v>784</v>
      </c>
      <c r="B132" s="342" t="s">
        <v>379</v>
      </c>
      <c r="C132" s="341" t="s">
        <v>580</v>
      </c>
      <c r="D132" s="433">
        <v>2.05</v>
      </c>
      <c r="E132" s="595">
        <v>3</v>
      </c>
      <c r="F132" s="847">
        <f>E132*D132</f>
        <v>6.1499999999999995</v>
      </c>
      <c r="G132" s="109"/>
      <c r="H132" s="100"/>
      <c r="I132" s="109"/>
      <c r="J132" s="100"/>
      <c r="K132" s="371">
        <f>E132</f>
        <v>3</v>
      </c>
      <c r="L132" s="100">
        <f>K132*D132</f>
        <v>6.1499999999999995</v>
      </c>
      <c r="M132" s="109"/>
      <c r="N132" s="847"/>
      <c r="O132" s="791" t="s">
        <v>602</v>
      </c>
      <c r="P132" s="807"/>
      <c r="Q132" s="976"/>
      <c r="R132" s="976"/>
      <c r="S132" s="196"/>
    </row>
    <row r="133" spans="1:19" s="197" customFormat="1" ht="28.5" customHeight="1">
      <c r="A133" s="336" t="s">
        <v>212</v>
      </c>
      <c r="B133" s="342" t="s">
        <v>380</v>
      </c>
      <c r="C133" s="341" t="s">
        <v>580</v>
      </c>
      <c r="D133" s="433">
        <v>0.45</v>
      </c>
      <c r="E133" s="595">
        <v>3</v>
      </c>
      <c r="F133" s="847">
        <f>E133*D133</f>
        <v>1.35</v>
      </c>
      <c r="G133" s="109"/>
      <c r="H133" s="100"/>
      <c r="I133" s="109"/>
      <c r="J133" s="100"/>
      <c r="K133" s="371">
        <f>E133</f>
        <v>3</v>
      </c>
      <c r="L133" s="100">
        <f>K133*D133</f>
        <v>1.35</v>
      </c>
      <c r="M133" s="109"/>
      <c r="N133" s="100"/>
      <c r="O133" s="791" t="s">
        <v>602</v>
      </c>
      <c r="P133" s="807"/>
      <c r="Q133" s="977"/>
      <c r="R133" s="977"/>
      <c r="S133" s="196"/>
    </row>
    <row r="134" spans="1:21" s="113" customFormat="1" ht="12.75" customHeight="1">
      <c r="A134" s="106"/>
      <c r="B134" s="115" t="s">
        <v>210</v>
      </c>
      <c r="C134" s="160"/>
      <c r="D134" s="119"/>
      <c r="E134" s="118"/>
      <c r="F134" s="101">
        <f>SUM(F129:F133)</f>
        <v>1731.8200000000002</v>
      </c>
      <c r="G134" s="118"/>
      <c r="H134" s="101">
        <f>SUM(H129:H133)</f>
        <v>12.26</v>
      </c>
      <c r="I134" s="285"/>
      <c r="J134" s="101">
        <f>SUM(J129:J133)</f>
        <v>0</v>
      </c>
      <c r="K134" s="370"/>
      <c r="L134" s="101">
        <f>SUM(L129:L133)</f>
        <v>1719.5600000000002</v>
      </c>
      <c r="M134" s="285"/>
      <c r="N134" s="101">
        <f>SUM(N129:N133)</f>
        <v>0</v>
      </c>
      <c r="O134" s="791"/>
      <c r="P134" s="807"/>
      <c r="Q134" s="235"/>
      <c r="R134" s="121"/>
      <c r="S134" s="112"/>
      <c r="T134" s="122"/>
      <c r="U134" s="277"/>
    </row>
    <row r="135" spans="1:19" s="194" customFormat="1" ht="18.75" customHeight="1">
      <c r="A135" s="103" t="s">
        <v>211</v>
      </c>
      <c r="B135" s="186" t="s">
        <v>189</v>
      </c>
      <c r="C135" s="171"/>
      <c r="D135" s="432"/>
      <c r="E135" s="203"/>
      <c r="F135" s="100">
        <f>D135*E135</f>
        <v>0</v>
      </c>
      <c r="G135" s="188"/>
      <c r="H135" s="100">
        <f>G135*D135</f>
        <v>0</v>
      </c>
      <c r="I135" s="188"/>
      <c r="J135" s="100">
        <f>I135*D135</f>
        <v>0</v>
      </c>
      <c r="K135" s="187"/>
      <c r="L135" s="100">
        <f>K135*D135</f>
        <v>0</v>
      </c>
      <c r="M135" s="188"/>
      <c r="N135" s="100">
        <f>M135*D135</f>
        <v>0</v>
      </c>
      <c r="O135" s="791"/>
      <c r="P135" s="807"/>
      <c r="Q135" s="235"/>
      <c r="R135" s="192"/>
      <c r="S135" s="193"/>
    </row>
    <row r="136" spans="1:19" s="194" customFormat="1" ht="18" customHeight="1">
      <c r="A136" s="139">
        <v>1</v>
      </c>
      <c r="B136" s="199" t="s">
        <v>104</v>
      </c>
      <c r="C136" s="200"/>
      <c r="D136" s="434"/>
      <c r="E136" s="457"/>
      <c r="F136" s="128">
        <f>SUM(F137:F141)</f>
        <v>1523.3400000000001</v>
      </c>
      <c r="G136" s="201"/>
      <c r="H136" s="357">
        <f>SUM(H137:H141)</f>
        <v>257.34</v>
      </c>
      <c r="I136" s="384"/>
      <c r="J136" s="357">
        <f>SUM(J137:J141)</f>
        <v>1266</v>
      </c>
      <c r="K136" s="383"/>
      <c r="L136" s="357">
        <f>SUM(L137:L141)</f>
        <v>0</v>
      </c>
      <c r="M136" s="384"/>
      <c r="N136" s="357">
        <f>SUM(N137:N141)</f>
        <v>0</v>
      </c>
      <c r="O136" s="791"/>
      <c r="P136" s="807"/>
      <c r="Q136" s="235"/>
      <c r="R136" s="192"/>
      <c r="S136" s="193"/>
    </row>
    <row r="137" spans="1:19" s="197" customFormat="1" ht="55.5" customHeight="1">
      <c r="A137" s="343" t="s">
        <v>747</v>
      </c>
      <c r="B137" s="622" t="s">
        <v>161</v>
      </c>
      <c r="C137" s="338" t="s">
        <v>580</v>
      </c>
      <c r="D137" s="433">
        <v>62</v>
      </c>
      <c r="E137" s="595">
        <v>4</v>
      </c>
      <c r="F137" s="847">
        <v>248</v>
      </c>
      <c r="G137" s="109">
        <v>1</v>
      </c>
      <c r="H137" s="100">
        <f>G137*D137</f>
        <v>62</v>
      </c>
      <c r="I137" s="368">
        <v>3</v>
      </c>
      <c r="J137" s="100">
        <f>I137*D137</f>
        <v>186</v>
      </c>
      <c r="K137" s="99"/>
      <c r="L137" s="100"/>
      <c r="M137" s="109"/>
      <c r="N137" s="100"/>
      <c r="O137" s="851" t="s">
        <v>793</v>
      </c>
      <c r="P137" s="807"/>
      <c r="Q137" s="975" t="s">
        <v>700</v>
      </c>
      <c r="R137" s="975" t="s">
        <v>139</v>
      </c>
      <c r="S137" s="196"/>
    </row>
    <row r="138" spans="1:19" s="197" customFormat="1" ht="57.75" customHeight="1">
      <c r="A138" s="343" t="s">
        <v>748</v>
      </c>
      <c r="B138" s="123" t="s">
        <v>162</v>
      </c>
      <c r="C138" s="338" t="s">
        <v>580</v>
      </c>
      <c r="D138" s="433">
        <v>60</v>
      </c>
      <c r="E138" s="595">
        <v>21</v>
      </c>
      <c r="F138" s="100">
        <v>1260</v>
      </c>
      <c r="G138" s="109">
        <v>3</v>
      </c>
      <c r="H138" s="100">
        <f>G138*D138</f>
        <v>180</v>
      </c>
      <c r="I138" s="368">
        <v>18</v>
      </c>
      <c r="J138" s="100">
        <f>I138*D138</f>
        <v>1080</v>
      </c>
      <c r="K138" s="99"/>
      <c r="L138" s="100"/>
      <c r="M138" s="109"/>
      <c r="N138" s="100"/>
      <c r="O138" s="851" t="s">
        <v>800</v>
      </c>
      <c r="P138" s="807"/>
      <c r="Q138" s="976"/>
      <c r="R138" s="977"/>
      <c r="S138" s="196"/>
    </row>
    <row r="139" spans="1:19" s="197" customFormat="1" ht="29.25" customHeight="1">
      <c r="A139" s="343" t="s">
        <v>85</v>
      </c>
      <c r="B139" s="622" t="s">
        <v>28</v>
      </c>
      <c r="C139" s="739" t="s">
        <v>580</v>
      </c>
      <c r="D139" s="433">
        <v>2.98</v>
      </c>
      <c r="E139" s="595">
        <v>4</v>
      </c>
      <c r="F139" s="100">
        <v>11.92</v>
      </c>
      <c r="G139" s="109">
        <f aca="true" t="shared" si="8" ref="G139:H141">E139</f>
        <v>4</v>
      </c>
      <c r="H139" s="99">
        <f t="shared" si="8"/>
        <v>11.92</v>
      </c>
      <c r="I139" s="368"/>
      <c r="J139" s="100"/>
      <c r="K139" s="99"/>
      <c r="L139" s="100"/>
      <c r="M139" s="109"/>
      <c r="N139" s="100"/>
      <c r="O139" s="851" t="s">
        <v>605</v>
      </c>
      <c r="P139" s="807"/>
      <c r="Q139" s="976"/>
      <c r="R139" s="694"/>
      <c r="S139" s="196"/>
    </row>
    <row r="140" spans="1:19" s="197" customFormat="1" ht="23.25" customHeight="1">
      <c r="A140" s="343" t="s">
        <v>86</v>
      </c>
      <c r="B140" s="622" t="s">
        <v>29</v>
      </c>
      <c r="C140" s="739" t="s">
        <v>580</v>
      </c>
      <c r="D140" s="433">
        <v>0.43</v>
      </c>
      <c r="E140" s="595">
        <v>4</v>
      </c>
      <c r="F140" s="100">
        <v>1.72</v>
      </c>
      <c r="G140" s="109">
        <f t="shared" si="8"/>
        <v>4</v>
      </c>
      <c r="H140" s="99">
        <f t="shared" si="8"/>
        <v>1.72</v>
      </c>
      <c r="I140" s="368"/>
      <c r="J140" s="100"/>
      <c r="K140" s="99"/>
      <c r="L140" s="100"/>
      <c r="M140" s="109"/>
      <c r="N140" s="100"/>
      <c r="O140" s="851" t="s">
        <v>605</v>
      </c>
      <c r="P140" s="807"/>
      <c r="Q140" s="976"/>
      <c r="R140" s="694"/>
      <c r="S140" s="196"/>
    </row>
    <row r="141" spans="1:19" s="197" customFormat="1" ht="25.5" customHeight="1">
      <c r="A141" s="343" t="s">
        <v>87</v>
      </c>
      <c r="B141" s="622" t="s">
        <v>30</v>
      </c>
      <c r="C141" s="739" t="s">
        <v>580</v>
      </c>
      <c r="D141" s="433">
        <v>0.85</v>
      </c>
      <c r="E141" s="595">
        <v>2</v>
      </c>
      <c r="F141" s="100">
        <v>1.7</v>
      </c>
      <c r="G141" s="109">
        <f t="shared" si="8"/>
        <v>2</v>
      </c>
      <c r="H141" s="99">
        <f t="shared" si="8"/>
        <v>1.7</v>
      </c>
      <c r="I141" s="368"/>
      <c r="J141" s="100"/>
      <c r="K141" s="99"/>
      <c r="L141" s="100"/>
      <c r="M141" s="109"/>
      <c r="N141" s="100"/>
      <c r="O141" s="851" t="s">
        <v>605</v>
      </c>
      <c r="P141" s="807"/>
      <c r="Q141" s="977"/>
      <c r="R141" s="694"/>
      <c r="S141" s="196"/>
    </row>
    <row r="142" spans="1:19" s="197" customFormat="1" ht="15.75" customHeight="1">
      <c r="A142" s="139">
        <v>2</v>
      </c>
      <c r="B142" s="199" t="s">
        <v>105</v>
      </c>
      <c r="C142" s="200"/>
      <c r="D142" s="434"/>
      <c r="E142" s="129"/>
      <c r="F142" s="128">
        <f>SUM(F143:F149)</f>
        <v>1505.19</v>
      </c>
      <c r="G142" s="129"/>
      <c r="H142" s="357">
        <f>SUM(H143:H149)</f>
        <v>0</v>
      </c>
      <c r="I142" s="664"/>
      <c r="J142" s="357">
        <f>SUM(J143:J149)</f>
        <v>1505.19</v>
      </c>
      <c r="K142" s="382"/>
      <c r="L142" s="357">
        <f>SUM(L143:L149)</f>
        <v>0</v>
      </c>
      <c r="M142" s="381"/>
      <c r="N142" s="357">
        <f>SUM(N143:N149)</f>
        <v>0</v>
      </c>
      <c r="O142" s="794"/>
      <c r="P142" s="807"/>
      <c r="Q142" s="235"/>
      <c r="R142" s="192"/>
      <c r="S142" s="196"/>
    </row>
    <row r="143" spans="1:20" s="113" customFormat="1" ht="29.25" customHeight="1">
      <c r="A143" s="343" t="s">
        <v>751</v>
      </c>
      <c r="B143" s="344" t="s">
        <v>385</v>
      </c>
      <c r="C143" s="345" t="s">
        <v>580</v>
      </c>
      <c r="D143" s="433">
        <v>80.4</v>
      </c>
      <c r="E143" s="596">
        <v>1</v>
      </c>
      <c r="F143" s="847">
        <f>E143*D143</f>
        <v>80.4</v>
      </c>
      <c r="G143" s="109"/>
      <c r="H143" s="100"/>
      <c r="I143" s="368">
        <f>E143</f>
        <v>1</v>
      </c>
      <c r="J143" s="100">
        <f>I143*D143</f>
        <v>80.4</v>
      </c>
      <c r="K143" s="99"/>
      <c r="L143" s="100"/>
      <c r="M143" s="203"/>
      <c r="N143" s="100"/>
      <c r="O143" s="791" t="s">
        <v>602</v>
      </c>
      <c r="P143" s="807"/>
      <c r="Q143" s="975" t="s">
        <v>700</v>
      </c>
      <c r="R143" s="975" t="s">
        <v>140</v>
      </c>
      <c r="S143" s="112"/>
      <c r="T143" s="122"/>
    </row>
    <row r="144" spans="1:20" s="113" customFormat="1" ht="27" customHeight="1">
      <c r="A144" s="343" t="s">
        <v>753</v>
      </c>
      <c r="B144" s="344" t="s">
        <v>386</v>
      </c>
      <c r="C144" s="345" t="s">
        <v>580</v>
      </c>
      <c r="D144" s="433">
        <v>21.6</v>
      </c>
      <c r="E144" s="596">
        <v>1</v>
      </c>
      <c r="F144" s="847">
        <f aca="true" t="shared" si="9" ref="F144:F149">E144*D144</f>
        <v>21.6</v>
      </c>
      <c r="G144" s="109"/>
      <c r="H144" s="100"/>
      <c r="I144" s="368">
        <f aca="true" t="shared" si="10" ref="I144:I149">E144</f>
        <v>1</v>
      </c>
      <c r="J144" s="100">
        <f aca="true" t="shared" si="11" ref="J144:J149">I144*D144</f>
        <v>21.6</v>
      </c>
      <c r="K144" s="99"/>
      <c r="L144" s="100"/>
      <c r="M144" s="203"/>
      <c r="N144" s="100"/>
      <c r="O144" s="791" t="s">
        <v>602</v>
      </c>
      <c r="P144" s="807"/>
      <c r="Q144" s="976"/>
      <c r="R144" s="976"/>
      <c r="S144" s="112"/>
      <c r="T144" s="122"/>
    </row>
    <row r="145" spans="1:20" s="113" customFormat="1" ht="22.5" customHeight="1">
      <c r="A145" s="343" t="s">
        <v>354</v>
      </c>
      <c r="B145" s="344" t="s">
        <v>387</v>
      </c>
      <c r="C145" s="345" t="s">
        <v>580</v>
      </c>
      <c r="D145" s="433">
        <v>11.73</v>
      </c>
      <c r="E145" s="596">
        <v>1</v>
      </c>
      <c r="F145" s="847">
        <f t="shared" si="9"/>
        <v>11.73</v>
      </c>
      <c r="G145" s="109"/>
      <c r="H145" s="100"/>
      <c r="I145" s="368">
        <f t="shared" si="10"/>
        <v>1</v>
      </c>
      <c r="J145" s="100">
        <f t="shared" si="11"/>
        <v>11.73</v>
      </c>
      <c r="K145" s="99"/>
      <c r="L145" s="100"/>
      <c r="M145" s="203"/>
      <c r="N145" s="100"/>
      <c r="O145" s="791" t="s">
        <v>602</v>
      </c>
      <c r="P145" s="807"/>
      <c r="Q145" s="976"/>
      <c r="R145" s="976"/>
      <c r="S145" s="112"/>
      <c r="T145" s="122"/>
    </row>
    <row r="146" spans="1:20" s="113" customFormat="1" ht="25.5" customHeight="1">
      <c r="A146" s="343" t="s">
        <v>74</v>
      </c>
      <c r="B146" s="344" t="s">
        <v>388</v>
      </c>
      <c r="C146" s="345" t="s">
        <v>580</v>
      </c>
      <c r="D146" s="433">
        <v>32.2</v>
      </c>
      <c r="E146" s="596">
        <v>18</v>
      </c>
      <c r="F146" s="847">
        <f t="shared" si="9"/>
        <v>579.6</v>
      </c>
      <c r="G146" s="109"/>
      <c r="H146" s="100"/>
      <c r="I146" s="368">
        <f t="shared" si="10"/>
        <v>18</v>
      </c>
      <c r="J146" s="100">
        <f t="shared" si="11"/>
        <v>579.6</v>
      </c>
      <c r="K146" s="99"/>
      <c r="L146" s="100"/>
      <c r="M146" s="203"/>
      <c r="N146" s="100"/>
      <c r="O146" s="791" t="s">
        <v>602</v>
      </c>
      <c r="P146" s="807"/>
      <c r="Q146" s="976"/>
      <c r="R146" s="976"/>
      <c r="S146" s="112"/>
      <c r="T146" s="122"/>
    </row>
    <row r="147" spans="1:20" s="113" customFormat="1" ht="24.75" customHeight="1">
      <c r="A147" s="343" t="s">
        <v>75</v>
      </c>
      <c r="B147" s="344" t="s">
        <v>389</v>
      </c>
      <c r="C147" s="345" t="s">
        <v>580</v>
      </c>
      <c r="D147" s="433">
        <v>16.67</v>
      </c>
      <c r="E147" s="596">
        <v>17</v>
      </c>
      <c r="F147" s="847">
        <f t="shared" si="9"/>
        <v>283.39000000000004</v>
      </c>
      <c r="G147" s="109"/>
      <c r="H147" s="100"/>
      <c r="I147" s="368">
        <f t="shared" si="10"/>
        <v>17</v>
      </c>
      <c r="J147" s="100">
        <f t="shared" si="11"/>
        <v>283.39000000000004</v>
      </c>
      <c r="K147" s="99"/>
      <c r="L147" s="100"/>
      <c r="M147" s="203"/>
      <c r="N147" s="100"/>
      <c r="O147" s="791" t="s">
        <v>602</v>
      </c>
      <c r="P147" s="807"/>
      <c r="Q147" s="976"/>
      <c r="R147" s="976"/>
      <c r="S147" s="112"/>
      <c r="T147" s="122"/>
    </row>
    <row r="148" spans="1:20" s="113" customFormat="1" ht="25.5" customHeight="1">
      <c r="A148" s="343" t="s">
        <v>584</v>
      </c>
      <c r="B148" s="344" t="s">
        <v>390</v>
      </c>
      <c r="C148" s="345" t="s">
        <v>580</v>
      </c>
      <c r="D148" s="433">
        <v>18.58</v>
      </c>
      <c r="E148" s="596">
        <v>19</v>
      </c>
      <c r="F148" s="847">
        <f t="shared" si="9"/>
        <v>353.02</v>
      </c>
      <c r="G148" s="109"/>
      <c r="H148" s="100"/>
      <c r="I148" s="368">
        <f t="shared" si="10"/>
        <v>19</v>
      </c>
      <c r="J148" s="100">
        <f t="shared" si="11"/>
        <v>353.02</v>
      </c>
      <c r="K148" s="99"/>
      <c r="L148" s="100"/>
      <c r="M148" s="203"/>
      <c r="N148" s="100"/>
      <c r="O148" s="791" t="s">
        <v>602</v>
      </c>
      <c r="P148" s="807"/>
      <c r="Q148" s="976"/>
      <c r="R148" s="976"/>
      <c r="S148" s="112"/>
      <c r="T148" s="122"/>
    </row>
    <row r="149" spans="1:20" s="113" customFormat="1" ht="24.75" customHeight="1">
      <c r="A149" s="343" t="s">
        <v>586</v>
      </c>
      <c r="B149" s="344" t="s">
        <v>391</v>
      </c>
      <c r="C149" s="345" t="s">
        <v>580</v>
      </c>
      <c r="D149" s="433">
        <v>6.05</v>
      </c>
      <c r="E149" s="596">
        <v>29</v>
      </c>
      <c r="F149" s="847">
        <f t="shared" si="9"/>
        <v>175.45</v>
      </c>
      <c r="G149" s="109"/>
      <c r="H149" s="100"/>
      <c r="I149" s="368">
        <f t="shared" si="10"/>
        <v>29</v>
      </c>
      <c r="J149" s="100">
        <f t="shared" si="11"/>
        <v>175.45</v>
      </c>
      <c r="K149" s="99"/>
      <c r="L149" s="100"/>
      <c r="M149" s="203"/>
      <c r="N149" s="100"/>
      <c r="O149" s="791" t="s">
        <v>602</v>
      </c>
      <c r="P149" s="807"/>
      <c r="Q149" s="977"/>
      <c r="R149" s="977"/>
      <c r="S149" s="112"/>
      <c r="T149" s="122"/>
    </row>
    <row r="150" spans="1:19" s="113" customFormat="1" ht="12.75" customHeight="1">
      <c r="A150" s="106"/>
      <c r="B150" s="115" t="s">
        <v>214</v>
      </c>
      <c r="C150" s="204"/>
      <c r="D150" s="435"/>
      <c r="E150" s="458"/>
      <c r="F150" s="101">
        <f>F136+F142</f>
        <v>3028.53</v>
      </c>
      <c r="G150" s="118"/>
      <c r="H150" s="101">
        <f>H136+H142</f>
        <v>257.34</v>
      </c>
      <c r="I150" s="285"/>
      <c r="J150" s="101">
        <f>J136+J142</f>
        <v>2771.19</v>
      </c>
      <c r="K150" s="370"/>
      <c r="L150" s="101">
        <f>L136+L142</f>
        <v>0</v>
      </c>
      <c r="M150" s="285"/>
      <c r="N150" s="101">
        <f>N136+N142</f>
        <v>0</v>
      </c>
      <c r="O150" s="791"/>
      <c r="P150" s="807"/>
      <c r="Q150" s="235"/>
      <c r="R150" s="121"/>
      <c r="S150" s="112"/>
    </row>
    <row r="151" spans="1:20" s="113" customFormat="1" ht="12.75" customHeight="1">
      <c r="A151" s="106"/>
      <c r="B151" s="133" t="s">
        <v>215</v>
      </c>
      <c r="C151" s="168"/>
      <c r="D151" s="425"/>
      <c r="E151" s="135"/>
      <c r="F151" s="134">
        <f>F150+F134</f>
        <v>4760.35</v>
      </c>
      <c r="G151" s="135"/>
      <c r="H151" s="134">
        <f>H150+H134</f>
        <v>269.59999999999997</v>
      </c>
      <c r="I151" s="222"/>
      <c r="J151" s="134">
        <f>J150+J134</f>
        <v>2771.19</v>
      </c>
      <c r="K151" s="223"/>
      <c r="L151" s="134">
        <f>L150+L134</f>
        <v>1719.5600000000002</v>
      </c>
      <c r="M151" s="222"/>
      <c r="N151" s="134">
        <f>N150+N134</f>
        <v>0</v>
      </c>
      <c r="O151" s="791"/>
      <c r="P151" s="807"/>
      <c r="Q151" s="235"/>
      <c r="R151" s="121"/>
      <c r="S151" s="112"/>
      <c r="T151" s="122"/>
    </row>
    <row r="152" spans="1:19" s="194" customFormat="1" ht="12.75" customHeight="1">
      <c r="A152" s="103" t="s">
        <v>216</v>
      </c>
      <c r="B152" s="186" t="s">
        <v>249</v>
      </c>
      <c r="C152" s="195"/>
      <c r="D152" s="432"/>
      <c r="E152" s="109"/>
      <c r="F152" s="100">
        <f>D152*E152</f>
        <v>0</v>
      </c>
      <c r="G152" s="109"/>
      <c r="H152" s="100">
        <f aca="true" t="shared" si="12" ref="H152:H157">G152*D152</f>
        <v>0</v>
      </c>
      <c r="I152" s="109"/>
      <c r="J152" s="100">
        <f>I152*D152</f>
        <v>0</v>
      </c>
      <c r="K152" s="99"/>
      <c r="L152" s="100">
        <f>K152*D152</f>
        <v>0</v>
      </c>
      <c r="M152" s="109"/>
      <c r="N152" s="100">
        <f>M152*D152</f>
        <v>0</v>
      </c>
      <c r="O152" s="791"/>
      <c r="P152" s="807"/>
      <c r="Q152" s="235"/>
      <c r="R152" s="192"/>
      <c r="S152" s="193"/>
    </row>
    <row r="153" spans="1:19" s="197" customFormat="1" ht="62.25" customHeight="1">
      <c r="A153" s="343" t="s">
        <v>749</v>
      </c>
      <c r="B153" s="346" t="s">
        <v>392</v>
      </c>
      <c r="C153" s="345" t="s">
        <v>184</v>
      </c>
      <c r="D153" s="436">
        <v>71.59</v>
      </c>
      <c r="E153" s="596">
        <v>4</v>
      </c>
      <c r="F153" s="847">
        <v>286.36</v>
      </c>
      <c r="G153" s="368">
        <f aca="true" t="shared" si="13" ref="G153:G158">E153</f>
        <v>4</v>
      </c>
      <c r="H153" s="100">
        <f t="shared" si="12"/>
        <v>286.36</v>
      </c>
      <c r="I153" s="109"/>
      <c r="J153" s="100"/>
      <c r="K153" s="99"/>
      <c r="L153" s="100"/>
      <c r="M153" s="109"/>
      <c r="N153" s="100"/>
      <c r="O153" s="851" t="s">
        <v>794</v>
      </c>
      <c r="P153" s="807"/>
      <c r="Q153" s="975" t="s">
        <v>700</v>
      </c>
      <c r="R153" s="132" t="s">
        <v>501</v>
      </c>
      <c r="S153" s="196"/>
    </row>
    <row r="154" spans="1:19" s="197" customFormat="1" ht="51.75" customHeight="1">
      <c r="A154" s="343" t="s">
        <v>782</v>
      </c>
      <c r="B154" s="347" t="s">
        <v>393</v>
      </c>
      <c r="C154" s="345" t="s">
        <v>312</v>
      </c>
      <c r="D154" s="436">
        <v>49.85</v>
      </c>
      <c r="E154" s="671">
        <v>0.9863</v>
      </c>
      <c r="F154" s="847">
        <v>49.167055</v>
      </c>
      <c r="G154" s="109">
        <f t="shared" si="13"/>
        <v>0.9863</v>
      </c>
      <c r="H154" s="100">
        <f t="shared" si="12"/>
        <v>49.167055</v>
      </c>
      <c r="I154" s="109"/>
      <c r="J154" s="100"/>
      <c r="K154" s="99"/>
      <c r="L154" s="100"/>
      <c r="M154" s="109"/>
      <c r="N154" s="100"/>
      <c r="O154" s="851" t="s">
        <v>795</v>
      </c>
      <c r="P154" s="807"/>
      <c r="Q154" s="976"/>
      <c r="R154" s="975" t="s">
        <v>494</v>
      </c>
      <c r="S154" s="196"/>
    </row>
    <row r="155" spans="1:19" s="197" customFormat="1" ht="48.75" customHeight="1">
      <c r="A155" s="343" t="s">
        <v>783</v>
      </c>
      <c r="B155" s="347" t="s">
        <v>394</v>
      </c>
      <c r="C155" s="345" t="s">
        <v>312</v>
      </c>
      <c r="D155" s="433">
        <v>21.32</v>
      </c>
      <c r="E155" s="671">
        <v>2.4</v>
      </c>
      <c r="F155" s="847">
        <v>51.168</v>
      </c>
      <c r="G155" s="109">
        <f t="shared" si="13"/>
        <v>2.4</v>
      </c>
      <c r="H155" s="100">
        <f t="shared" si="12"/>
        <v>51.168</v>
      </c>
      <c r="I155" s="109"/>
      <c r="J155" s="100"/>
      <c r="K155" s="99"/>
      <c r="L155" s="100"/>
      <c r="M155" s="109"/>
      <c r="N155" s="100"/>
      <c r="O155" s="851" t="s">
        <v>796</v>
      </c>
      <c r="P155" s="807"/>
      <c r="Q155" s="976"/>
      <c r="R155" s="976"/>
      <c r="S155" s="196"/>
    </row>
    <row r="156" spans="1:19" s="197" customFormat="1" ht="51.75" customHeight="1">
      <c r="A156" s="343" t="s">
        <v>784</v>
      </c>
      <c r="B156" s="347" t="s">
        <v>395</v>
      </c>
      <c r="C156" s="341" t="s">
        <v>312</v>
      </c>
      <c r="D156" s="433">
        <v>16.45</v>
      </c>
      <c r="E156" s="632">
        <v>3.8</v>
      </c>
      <c r="F156" s="847">
        <v>62.51</v>
      </c>
      <c r="G156" s="109">
        <f t="shared" si="13"/>
        <v>3.8</v>
      </c>
      <c r="H156" s="100">
        <f t="shared" si="12"/>
        <v>62.50999999999999</v>
      </c>
      <c r="I156" s="109"/>
      <c r="J156" s="100"/>
      <c r="K156" s="99"/>
      <c r="L156" s="100"/>
      <c r="M156" s="109"/>
      <c r="N156" s="100"/>
      <c r="O156" s="851" t="s">
        <v>797</v>
      </c>
      <c r="P156" s="807"/>
      <c r="Q156" s="976"/>
      <c r="R156" s="976"/>
      <c r="S156" s="196"/>
    </row>
    <row r="157" spans="1:19" s="197" customFormat="1" ht="30.75" customHeight="1">
      <c r="A157" s="343" t="s">
        <v>212</v>
      </c>
      <c r="B157" s="348" t="s">
        <v>396</v>
      </c>
      <c r="C157" s="341" t="s">
        <v>312</v>
      </c>
      <c r="D157" s="433">
        <v>6</v>
      </c>
      <c r="E157" s="595">
        <v>1.22</v>
      </c>
      <c r="F157" s="847">
        <f>E157*D157</f>
        <v>7.32</v>
      </c>
      <c r="G157" s="109">
        <f t="shared" si="13"/>
        <v>1.22</v>
      </c>
      <c r="H157" s="100">
        <f t="shared" si="12"/>
        <v>7.32</v>
      </c>
      <c r="I157" s="109"/>
      <c r="J157" s="100"/>
      <c r="K157" s="99"/>
      <c r="L157" s="100"/>
      <c r="M157" s="109"/>
      <c r="N157" s="100"/>
      <c r="O157" s="851" t="s">
        <v>602</v>
      </c>
      <c r="P157" s="807"/>
      <c r="Q157" s="976"/>
      <c r="R157" s="977"/>
      <c r="S157" s="196"/>
    </row>
    <row r="158" spans="1:19" s="197" customFormat="1" ht="24.75" customHeight="1">
      <c r="A158" s="343" t="s">
        <v>213</v>
      </c>
      <c r="B158" s="348" t="s">
        <v>396</v>
      </c>
      <c r="C158" s="742" t="s">
        <v>312</v>
      </c>
      <c r="D158" s="740">
        <v>4.95</v>
      </c>
      <c r="E158" s="741">
        <v>0.915</v>
      </c>
      <c r="F158" s="175">
        <v>4.52925</v>
      </c>
      <c r="G158" s="109">
        <f t="shared" si="13"/>
        <v>0.915</v>
      </c>
      <c r="H158" s="233">
        <f>F158</f>
        <v>4.52925</v>
      </c>
      <c r="I158" s="234"/>
      <c r="J158" s="175"/>
      <c r="K158" s="233"/>
      <c r="L158" s="175"/>
      <c r="M158" s="234"/>
      <c r="N158" s="175"/>
      <c r="O158" s="851" t="s">
        <v>605</v>
      </c>
      <c r="P158" s="807"/>
      <c r="Q158" s="977"/>
      <c r="R158" s="111"/>
      <c r="S158" s="196"/>
    </row>
    <row r="159" spans="1:20" s="113" customFormat="1" ht="12.75" customHeight="1" thickBot="1">
      <c r="A159" s="178"/>
      <c r="B159" s="140" t="s">
        <v>217</v>
      </c>
      <c r="C159" s="179"/>
      <c r="D159" s="429"/>
      <c r="E159" s="143"/>
      <c r="F159" s="180">
        <f>SUM(F153:F158)</f>
        <v>461.054305</v>
      </c>
      <c r="G159" s="143"/>
      <c r="H159" s="180">
        <f>SUM(H153:H158)</f>
        <v>461.054305</v>
      </c>
      <c r="I159" s="398"/>
      <c r="J159" s="142">
        <f>SUM(J153:J158)</f>
        <v>0</v>
      </c>
      <c r="K159" s="385"/>
      <c r="L159" s="180">
        <f>SUM(L153:L158)</f>
        <v>0</v>
      </c>
      <c r="M159" s="398"/>
      <c r="N159" s="180">
        <f>SUM(N153:N158)</f>
        <v>0</v>
      </c>
      <c r="O159" s="791"/>
      <c r="P159" s="807"/>
      <c r="Q159" s="235"/>
      <c r="R159" s="121"/>
      <c r="S159" s="112"/>
      <c r="T159" s="122"/>
    </row>
    <row r="160" spans="1:20" s="96" customFormat="1" ht="15" customHeight="1" thickBot="1">
      <c r="A160" s="144" t="s">
        <v>218</v>
      </c>
      <c r="B160" s="145"/>
      <c r="C160" s="146"/>
      <c r="D160" s="422"/>
      <c r="E160" s="452"/>
      <c r="F160" s="147">
        <f>F159+F151</f>
        <v>5221.404305</v>
      </c>
      <c r="G160" s="148"/>
      <c r="H160" s="147">
        <f>H159+H151</f>
        <v>730.654305</v>
      </c>
      <c r="I160" s="379"/>
      <c r="J160" s="147">
        <f>J159+J151</f>
        <v>2771.19</v>
      </c>
      <c r="K160" s="378"/>
      <c r="L160" s="147">
        <f>L159+L151</f>
        <v>1719.5600000000002</v>
      </c>
      <c r="M160" s="379"/>
      <c r="N160" s="147">
        <f>N159+N151</f>
        <v>0</v>
      </c>
      <c r="O160" s="791"/>
      <c r="P160" s="807"/>
      <c r="Q160" s="206"/>
      <c r="R160" s="94"/>
      <c r="S160" s="95"/>
      <c r="T160" s="158"/>
    </row>
    <row r="161" spans="1:20" s="96" customFormat="1" ht="12.75" customHeight="1">
      <c r="A161" s="151" t="s">
        <v>648</v>
      </c>
      <c r="B161" s="152"/>
      <c r="C161" s="152"/>
      <c r="D161" s="437"/>
      <c r="E161" s="459"/>
      <c r="F161" s="748"/>
      <c r="G161" s="207"/>
      <c r="H161" s="208"/>
      <c r="I161" s="372"/>
      <c r="J161" s="755"/>
      <c r="K161" s="207"/>
      <c r="L161" s="208"/>
      <c r="M161" s="153"/>
      <c r="N161" s="154"/>
      <c r="O161" s="796"/>
      <c r="P161" s="805"/>
      <c r="Q161" s="473"/>
      <c r="R161" s="156"/>
      <c r="S161" s="157"/>
      <c r="T161" s="158"/>
    </row>
    <row r="162" spans="1:19" s="194" customFormat="1" ht="29.25" customHeight="1">
      <c r="A162" s="316" t="s">
        <v>619</v>
      </c>
      <c r="B162" s="317" t="s">
        <v>283</v>
      </c>
      <c r="C162" s="318"/>
      <c r="D162" s="319"/>
      <c r="E162" s="460"/>
      <c r="F162" s="749">
        <f>D162*E162</f>
        <v>0</v>
      </c>
      <c r="G162" s="203"/>
      <c r="H162" s="100"/>
      <c r="I162" s="198"/>
      <c r="J162" s="110"/>
      <c r="K162" s="203"/>
      <c r="L162" s="100"/>
      <c r="M162" s="198"/>
      <c r="N162" s="100"/>
      <c r="O162" s="798"/>
      <c r="P162" s="808"/>
      <c r="Q162" s="235"/>
      <c r="R162" s="111"/>
      <c r="S162" s="193"/>
    </row>
    <row r="163" spans="1:19" s="211" customFormat="1" ht="15.75" customHeight="1">
      <c r="A163" s="316" t="s">
        <v>620</v>
      </c>
      <c r="B163" s="317" t="s">
        <v>364</v>
      </c>
      <c r="C163" s="320"/>
      <c r="D163" s="321"/>
      <c r="E163" s="460"/>
      <c r="F163" s="749">
        <f>D163*E163</f>
        <v>0</v>
      </c>
      <c r="G163" s="203"/>
      <c r="H163" s="100"/>
      <c r="I163" s="198"/>
      <c r="J163" s="110"/>
      <c r="K163" s="203"/>
      <c r="L163" s="100"/>
      <c r="M163" s="198"/>
      <c r="N163" s="100"/>
      <c r="O163" s="798"/>
      <c r="P163" s="808"/>
      <c r="Q163" s="235"/>
      <c r="R163" s="209"/>
      <c r="S163" s="210"/>
    </row>
    <row r="164" spans="1:19" s="211" customFormat="1" ht="24.75" customHeight="1">
      <c r="A164" s="323" t="s">
        <v>749</v>
      </c>
      <c r="B164" s="23" t="s">
        <v>365</v>
      </c>
      <c r="C164" s="19" t="s">
        <v>580</v>
      </c>
      <c r="D164" s="322">
        <v>7</v>
      </c>
      <c r="E164" s="460">
        <v>98</v>
      </c>
      <c r="F164" s="849">
        <f>D164*E164</f>
        <v>686</v>
      </c>
      <c r="G164" s="203"/>
      <c r="H164" s="100"/>
      <c r="I164" s="198"/>
      <c r="J164" s="110"/>
      <c r="K164" s="203"/>
      <c r="L164" s="100"/>
      <c r="M164" s="198">
        <v>98</v>
      </c>
      <c r="N164" s="100">
        <f>M164*D164</f>
        <v>686</v>
      </c>
      <c r="O164" s="791" t="s">
        <v>602</v>
      </c>
      <c r="P164" s="808"/>
      <c r="Q164" s="975" t="s">
        <v>701</v>
      </c>
      <c r="R164" s="209" t="s">
        <v>495</v>
      </c>
      <c r="S164" s="210"/>
    </row>
    <row r="165" spans="1:19" s="211" customFormat="1" ht="24.75" customHeight="1">
      <c r="A165" s="323" t="s">
        <v>782</v>
      </c>
      <c r="B165" s="744" t="s">
        <v>31</v>
      </c>
      <c r="C165" s="743" t="s">
        <v>580</v>
      </c>
      <c r="D165" s="322">
        <v>7</v>
      </c>
      <c r="E165" s="460">
        <v>16</v>
      </c>
      <c r="F165" s="750">
        <v>112</v>
      </c>
      <c r="G165" s="203">
        <f>E165</f>
        <v>16</v>
      </c>
      <c r="H165" s="100">
        <f>F165</f>
        <v>112</v>
      </c>
      <c r="I165" s="198"/>
      <c r="J165" s="110"/>
      <c r="K165" s="203"/>
      <c r="L165" s="100"/>
      <c r="M165" s="198"/>
      <c r="N165" s="100"/>
      <c r="O165" s="851" t="s">
        <v>605</v>
      </c>
      <c r="P165" s="808"/>
      <c r="Q165" s="976"/>
      <c r="R165" s="209"/>
      <c r="S165" s="210"/>
    </row>
    <row r="166" spans="1:19" s="211" customFormat="1" ht="24.75" customHeight="1">
      <c r="A166" s="323" t="s">
        <v>783</v>
      </c>
      <c r="B166" s="744" t="s">
        <v>32</v>
      </c>
      <c r="C166" s="743" t="s">
        <v>580</v>
      </c>
      <c r="D166" s="322">
        <v>6.1</v>
      </c>
      <c r="E166" s="460">
        <v>127</v>
      </c>
      <c r="F166" s="750">
        <v>774.7</v>
      </c>
      <c r="G166" s="203">
        <f>E166</f>
        <v>127</v>
      </c>
      <c r="H166" s="100">
        <f>F166</f>
        <v>774.7</v>
      </c>
      <c r="I166" s="198"/>
      <c r="J166" s="110"/>
      <c r="K166" s="203"/>
      <c r="L166" s="100"/>
      <c r="M166" s="198"/>
      <c r="N166" s="100"/>
      <c r="O166" s="851" t="s">
        <v>605</v>
      </c>
      <c r="P166" s="808"/>
      <c r="Q166" s="977"/>
      <c r="R166" s="209"/>
      <c r="S166" s="210"/>
    </row>
    <row r="167" spans="1:20" s="113" customFormat="1" ht="12.75" customHeight="1">
      <c r="A167" s="202"/>
      <c r="B167" s="115" t="s">
        <v>219</v>
      </c>
      <c r="C167" s="160"/>
      <c r="D167" s="212"/>
      <c r="E167" s="118"/>
      <c r="F167" s="281">
        <f>SUM(F164:F166)</f>
        <v>1572.7</v>
      </c>
      <c r="G167" s="285"/>
      <c r="H167" s="161">
        <f aca="true" t="shared" si="14" ref="H167:N167">SUM(H164:H166)</f>
        <v>886.7</v>
      </c>
      <c r="I167" s="370"/>
      <c r="J167" s="280">
        <f t="shared" si="14"/>
        <v>0</v>
      </c>
      <c r="K167" s="285"/>
      <c r="L167" s="161">
        <f t="shared" si="14"/>
        <v>0</v>
      </c>
      <c r="M167" s="370"/>
      <c r="N167" s="161">
        <f t="shared" si="14"/>
        <v>686</v>
      </c>
      <c r="O167" s="794"/>
      <c r="P167" s="808"/>
      <c r="Q167" s="235"/>
      <c r="R167" s="121"/>
      <c r="S167" s="112"/>
      <c r="T167" s="122"/>
    </row>
    <row r="168" spans="1:19" s="194" customFormat="1" ht="18" customHeight="1">
      <c r="A168" s="103" t="s">
        <v>623</v>
      </c>
      <c r="B168" s="159" t="s">
        <v>220</v>
      </c>
      <c r="C168" s="213"/>
      <c r="D168" s="214"/>
      <c r="E168" s="109"/>
      <c r="F168" s="110"/>
      <c r="G168" s="203"/>
      <c r="H168" s="100">
        <f>G168*D168</f>
        <v>0</v>
      </c>
      <c r="I168" s="198"/>
      <c r="J168" s="110">
        <f>I168*D168</f>
        <v>0</v>
      </c>
      <c r="K168" s="203"/>
      <c r="L168" s="100">
        <f>K168*D168</f>
        <v>0</v>
      </c>
      <c r="M168" s="198"/>
      <c r="N168" s="100">
        <f>M168*D168</f>
        <v>0</v>
      </c>
      <c r="O168" s="794"/>
      <c r="P168" s="808"/>
      <c r="Q168" s="235"/>
      <c r="R168" s="192"/>
      <c r="S168" s="193"/>
    </row>
    <row r="169" spans="1:19" s="194" customFormat="1" ht="30" customHeight="1">
      <c r="A169" s="323" t="s">
        <v>749</v>
      </c>
      <c r="B169" s="324" t="s">
        <v>366</v>
      </c>
      <c r="C169" s="743" t="s">
        <v>580</v>
      </c>
      <c r="D169" s="322">
        <v>6.7284</v>
      </c>
      <c r="E169" s="461">
        <v>50</v>
      </c>
      <c r="F169" s="849">
        <v>336.42</v>
      </c>
      <c r="G169" s="203">
        <v>0</v>
      </c>
      <c r="H169" s="100">
        <v>0</v>
      </c>
      <c r="I169" s="198"/>
      <c r="J169" s="110"/>
      <c r="K169" s="203"/>
      <c r="L169" s="100"/>
      <c r="M169" s="203">
        <f>E169</f>
        <v>50</v>
      </c>
      <c r="N169" s="198">
        <f>F169</f>
        <v>336.42</v>
      </c>
      <c r="O169" s="791" t="s">
        <v>602</v>
      </c>
      <c r="P169" s="808"/>
      <c r="Q169" s="975" t="s">
        <v>701</v>
      </c>
      <c r="R169" s="209" t="s">
        <v>531</v>
      </c>
      <c r="S169" s="193"/>
    </row>
    <row r="170" spans="1:19" s="194" customFormat="1" ht="29.25" customHeight="1">
      <c r="A170" s="323" t="s">
        <v>782</v>
      </c>
      <c r="B170" s="324" t="s">
        <v>366</v>
      </c>
      <c r="C170" s="743" t="s">
        <v>580</v>
      </c>
      <c r="D170" s="322">
        <v>6.52</v>
      </c>
      <c r="E170" s="461">
        <v>5</v>
      </c>
      <c r="F170" s="749">
        <v>32.6</v>
      </c>
      <c r="G170" s="203">
        <v>5</v>
      </c>
      <c r="H170" s="100">
        <v>32.6</v>
      </c>
      <c r="I170" s="198"/>
      <c r="J170" s="110"/>
      <c r="K170" s="203"/>
      <c r="L170" s="100"/>
      <c r="M170" s="203"/>
      <c r="N170" s="198"/>
      <c r="O170" s="851" t="s">
        <v>605</v>
      </c>
      <c r="P170" s="808"/>
      <c r="Q170" s="976"/>
      <c r="R170" s="209"/>
      <c r="S170" s="193"/>
    </row>
    <row r="171" spans="1:19" s="194" customFormat="1" ht="29.25" customHeight="1">
      <c r="A171" s="323" t="s">
        <v>783</v>
      </c>
      <c r="B171" s="324" t="s">
        <v>367</v>
      </c>
      <c r="C171" s="743" t="s">
        <v>580</v>
      </c>
      <c r="D171" s="322">
        <v>17.0988</v>
      </c>
      <c r="E171" s="461">
        <v>8</v>
      </c>
      <c r="F171" s="849">
        <v>136.7904</v>
      </c>
      <c r="G171" s="203">
        <v>0</v>
      </c>
      <c r="H171" s="100">
        <v>0</v>
      </c>
      <c r="I171" s="198"/>
      <c r="J171" s="110"/>
      <c r="K171" s="203"/>
      <c r="L171" s="100"/>
      <c r="M171" s="203">
        <f aca="true" t="shared" si="15" ref="M171:M182">E171</f>
        <v>8</v>
      </c>
      <c r="N171" s="198">
        <f aca="true" t="shared" si="16" ref="N171:N182">F171</f>
        <v>136.7904</v>
      </c>
      <c r="O171" s="851" t="s">
        <v>602</v>
      </c>
      <c r="P171" s="808"/>
      <c r="Q171" s="976"/>
      <c r="R171" s="209" t="s">
        <v>531</v>
      </c>
      <c r="S171" s="193"/>
    </row>
    <row r="172" spans="1:19" s="194" customFormat="1" ht="31.5" customHeight="1">
      <c r="A172" s="323" t="s">
        <v>784</v>
      </c>
      <c r="B172" s="324" t="s">
        <v>367</v>
      </c>
      <c r="C172" s="743" t="s">
        <v>580</v>
      </c>
      <c r="D172" s="322">
        <v>9.01</v>
      </c>
      <c r="E172" s="461">
        <v>9</v>
      </c>
      <c r="F172" s="749">
        <v>81.09</v>
      </c>
      <c r="G172" s="203">
        <v>9</v>
      </c>
      <c r="H172" s="100">
        <v>81.09</v>
      </c>
      <c r="I172" s="198"/>
      <c r="J172" s="110"/>
      <c r="K172" s="203"/>
      <c r="L172" s="100"/>
      <c r="M172" s="203"/>
      <c r="N172" s="198"/>
      <c r="O172" s="851" t="s">
        <v>605</v>
      </c>
      <c r="P172" s="808"/>
      <c r="Q172" s="976"/>
      <c r="R172" s="209"/>
      <c r="S172" s="193"/>
    </row>
    <row r="173" spans="1:19" s="216" customFormat="1" ht="27" customHeight="1">
      <c r="A173" s="323" t="s">
        <v>212</v>
      </c>
      <c r="B173" s="324" t="s">
        <v>368</v>
      </c>
      <c r="C173" s="743" t="s">
        <v>580</v>
      </c>
      <c r="D173" s="322">
        <v>21.0108</v>
      </c>
      <c r="E173" s="461">
        <v>21</v>
      </c>
      <c r="F173" s="849">
        <v>441.22679999999997</v>
      </c>
      <c r="G173" s="203">
        <v>0</v>
      </c>
      <c r="H173" s="100">
        <v>0</v>
      </c>
      <c r="I173" s="198"/>
      <c r="J173" s="110"/>
      <c r="K173" s="203"/>
      <c r="L173" s="100"/>
      <c r="M173" s="203">
        <f t="shared" si="15"/>
        <v>21</v>
      </c>
      <c r="N173" s="198">
        <f t="shared" si="16"/>
        <v>441.22679999999997</v>
      </c>
      <c r="O173" s="851" t="s">
        <v>602</v>
      </c>
      <c r="P173" s="808"/>
      <c r="Q173" s="976"/>
      <c r="R173" s="209" t="s">
        <v>531</v>
      </c>
      <c r="S173" s="215"/>
    </row>
    <row r="174" spans="1:19" s="216" customFormat="1" ht="24.75" customHeight="1">
      <c r="A174" s="323" t="s">
        <v>213</v>
      </c>
      <c r="B174" s="324" t="s">
        <v>368</v>
      </c>
      <c r="C174" s="743" t="s">
        <v>580</v>
      </c>
      <c r="D174" s="322">
        <v>12</v>
      </c>
      <c r="E174" s="461">
        <v>8</v>
      </c>
      <c r="F174" s="749">
        <v>96</v>
      </c>
      <c r="G174" s="203">
        <v>8</v>
      </c>
      <c r="H174" s="100">
        <v>96</v>
      </c>
      <c r="I174" s="198"/>
      <c r="J174" s="110"/>
      <c r="K174" s="203"/>
      <c r="L174" s="100"/>
      <c r="M174" s="203"/>
      <c r="N174" s="198"/>
      <c r="O174" s="851" t="s">
        <v>605</v>
      </c>
      <c r="P174" s="808"/>
      <c r="Q174" s="976"/>
      <c r="R174" s="209"/>
      <c r="S174" s="215"/>
    </row>
    <row r="175" spans="1:19" s="216" customFormat="1" ht="27" customHeight="1">
      <c r="A175" s="323" t="s">
        <v>785</v>
      </c>
      <c r="B175" s="23" t="s">
        <v>369</v>
      </c>
      <c r="C175" s="743" t="s">
        <v>580</v>
      </c>
      <c r="D175" s="322">
        <v>16.5516</v>
      </c>
      <c r="E175" s="461">
        <v>12</v>
      </c>
      <c r="F175" s="849">
        <v>198.6192</v>
      </c>
      <c r="G175" s="203">
        <v>0</v>
      </c>
      <c r="H175" s="100">
        <v>0</v>
      </c>
      <c r="I175" s="198"/>
      <c r="J175" s="110"/>
      <c r="K175" s="203"/>
      <c r="L175" s="100"/>
      <c r="M175" s="203">
        <f t="shared" si="15"/>
        <v>12</v>
      </c>
      <c r="N175" s="198">
        <f t="shared" si="16"/>
        <v>198.6192</v>
      </c>
      <c r="O175" s="851" t="s">
        <v>602</v>
      </c>
      <c r="P175" s="808"/>
      <c r="Q175" s="976"/>
      <c r="R175" s="209" t="s">
        <v>531</v>
      </c>
      <c r="S175" s="215"/>
    </row>
    <row r="176" spans="1:19" s="216" customFormat="1" ht="24.75" customHeight="1">
      <c r="A176" s="323" t="s">
        <v>786</v>
      </c>
      <c r="B176" s="23" t="s">
        <v>369</v>
      </c>
      <c r="C176" s="743" t="s">
        <v>580</v>
      </c>
      <c r="D176" s="322">
        <v>12</v>
      </c>
      <c r="E176" s="461">
        <v>15</v>
      </c>
      <c r="F176" s="749">
        <v>180</v>
      </c>
      <c r="G176" s="203">
        <v>15</v>
      </c>
      <c r="H176" s="100">
        <v>180</v>
      </c>
      <c r="I176" s="198"/>
      <c r="J176" s="110"/>
      <c r="K176" s="203"/>
      <c r="L176" s="100"/>
      <c r="M176" s="203"/>
      <c r="N176" s="198"/>
      <c r="O176" s="851" t="s">
        <v>605</v>
      </c>
      <c r="P176" s="808"/>
      <c r="Q176" s="976"/>
      <c r="R176" s="209"/>
      <c r="S176" s="215"/>
    </row>
    <row r="177" spans="1:19" s="216" customFormat="1" ht="24.75" customHeight="1">
      <c r="A177" s="323" t="s">
        <v>787</v>
      </c>
      <c r="B177" s="23" t="s">
        <v>370</v>
      </c>
      <c r="C177" s="743" t="s">
        <v>580</v>
      </c>
      <c r="D177" s="322">
        <v>3.726</v>
      </c>
      <c r="E177" s="461">
        <v>23</v>
      </c>
      <c r="F177" s="849">
        <v>85.698</v>
      </c>
      <c r="G177" s="203">
        <v>0</v>
      </c>
      <c r="H177" s="100">
        <v>0</v>
      </c>
      <c r="I177" s="198"/>
      <c r="J177" s="756"/>
      <c r="K177" s="203"/>
      <c r="L177" s="681"/>
      <c r="M177" s="203">
        <f t="shared" si="15"/>
        <v>23</v>
      </c>
      <c r="N177" s="198">
        <f t="shared" si="16"/>
        <v>85.698</v>
      </c>
      <c r="O177" s="851" t="s">
        <v>602</v>
      </c>
      <c r="P177" s="808"/>
      <c r="Q177" s="976"/>
      <c r="R177" s="209" t="s">
        <v>531</v>
      </c>
      <c r="S177" s="215"/>
    </row>
    <row r="178" spans="1:19" s="216" customFormat="1" ht="24.75" customHeight="1">
      <c r="A178" s="323" t="s">
        <v>788</v>
      </c>
      <c r="B178" s="23" t="s">
        <v>33</v>
      </c>
      <c r="C178" s="743" t="s">
        <v>580</v>
      </c>
      <c r="D178" s="322">
        <v>2.68</v>
      </c>
      <c r="E178" s="461">
        <v>32</v>
      </c>
      <c r="F178" s="749">
        <v>85.76</v>
      </c>
      <c r="G178" s="203">
        <v>32</v>
      </c>
      <c r="H178" s="100">
        <v>85.76</v>
      </c>
      <c r="I178" s="198"/>
      <c r="J178" s="756"/>
      <c r="K178" s="203"/>
      <c r="L178" s="681"/>
      <c r="M178" s="203"/>
      <c r="N178" s="198"/>
      <c r="O178" s="851" t="s">
        <v>605</v>
      </c>
      <c r="P178" s="808"/>
      <c r="Q178" s="976"/>
      <c r="R178" s="696"/>
      <c r="S178" s="215"/>
    </row>
    <row r="179" spans="1:19" s="216" customFormat="1" ht="24.75" customHeight="1">
      <c r="A179" s="323" t="s">
        <v>789</v>
      </c>
      <c r="B179" s="23" t="s">
        <v>371</v>
      </c>
      <c r="C179" s="743" t="s">
        <v>580</v>
      </c>
      <c r="D179" s="322">
        <v>1.5984</v>
      </c>
      <c r="E179" s="461">
        <v>10</v>
      </c>
      <c r="F179" s="849">
        <v>15.984</v>
      </c>
      <c r="G179" s="203">
        <v>0</v>
      </c>
      <c r="H179" s="100">
        <v>0</v>
      </c>
      <c r="I179" s="198"/>
      <c r="J179" s="756"/>
      <c r="K179" s="203"/>
      <c r="L179" s="681"/>
      <c r="M179" s="203">
        <f t="shared" si="15"/>
        <v>10</v>
      </c>
      <c r="N179" s="198">
        <f t="shared" si="16"/>
        <v>15.984</v>
      </c>
      <c r="O179" s="851" t="s">
        <v>602</v>
      </c>
      <c r="P179" s="808"/>
      <c r="Q179" s="976"/>
      <c r="R179" s="209" t="s">
        <v>531</v>
      </c>
      <c r="S179" s="215"/>
    </row>
    <row r="180" spans="1:19" s="216" customFormat="1" ht="24.75" customHeight="1">
      <c r="A180" s="323" t="s">
        <v>194</v>
      </c>
      <c r="B180" s="23" t="s">
        <v>371</v>
      </c>
      <c r="C180" s="743" t="s">
        <v>580</v>
      </c>
      <c r="D180" s="322">
        <v>1.32397</v>
      </c>
      <c r="E180" s="461">
        <v>26</v>
      </c>
      <c r="F180" s="749">
        <v>34.42322</v>
      </c>
      <c r="G180" s="203">
        <v>26</v>
      </c>
      <c r="H180" s="100">
        <v>34.42322</v>
      </c>
      <c r="I180" s="198"/>
      <c r="J180" s="756"/>
      <c r="K180" s="203"/>
      <c r="L180" s="681"/>
      <c r="M180" s="203"/>
      <c r="N180" s="198"/>
      <c r="O180" s="851" t="s">
        <v>605</v>
      </c>
      <c r="P180" s="808"/>
      <c r="Q180" s="976"/>
      <c r="R180" s="696"/>
      <c r="S180" s="215"/>
    </row>
    <row r="181" spans="1:19" s="216" customFormat="1" ht="24.75" customHeight="1">
      <c r="A181" s="323" t="s">
        <v>195</v>
      </c>
      <c r="B181" s="23" t="s">
        <v>372</v>
      </c>
      <c r="C181" s="743" t="s">
        <v>580</v>
      </c>
      <c r="D181" s="322">
        <v>46.782</v>
      </c>
      <c r="E181" s="461">
        <v>2</v>
      </c>
      <c r="F181" s="849">
        <v>93.564</v>
      </c>
      <c r="G181" s="203">
        <v>0</v>
      </c>
      <c r="H181" s="100">
        <v>0</v>
      </c>
      <c r="I181" s="198"/>
      <c r="J181" s="756"/>
      <c r="K181" s="203"/>
      <c r="L181" s="681"/>
      <c r="M181" s="203">
        <f t="shared" si="15"/>
        <v>2</v>
      </c>
      <c r="N181" s="198">
        <f t="shared" si="16"/>
        <v>93.564</v>
      </c>
      <c r="O181" s="851" t="s">
        <v>603</v>
      </c>
      <c r="P181" s="808"/>
      <c r="Q181" s="976"/>
      <c r="R181" s="209" t="s">
        <v>531</v>
      </c>
      <c r="S181" s="215"/>
    </row>
    <row r="182" spans="1:19" s="216" customFormat="1" ht="24.75" customHeight="1">
      <c r="A182" s="323" t="s">
        <v>196</v>
      </c>
      <c r="B182" s="23" t="s">
        <v>373</v>
      </c>
      <c r="C182" s="743" t="s">
        <v>580</v>
      </c>
      <c r="D182" s="322">
        <v>18.216</v>
      </c>
      <c r="E182" s="461">
        <v>2</v>
      </c>
      <c r="F182" s="849">
        <v>36.432</v>
      </c>
      <c r="G182" s="203">
        <v>0</v>
      </c>
      <c r="H182" s="100">
        <v>0</v>
      </c>
      <c r="I182" s="198"/>
      <c r="J182" s="756"/>
      <c r="K182" s="203"/>
      <c r="L182" s="681"/>
      <c r="M182" s="203">
        <f t="shared" si="15"/>
        <v>2</v>
      </c>
      <c r="N182" s="198">
        <f t="shared" si="16"/>
        <v>36.432</v>
      </c>
      <c r="O182" s="851" t="s">
        <v>603</v>
      </c>
      <c r="P182" s="808"/>
      <c r="Q182" s="977"/>
      <c r="R182" s="209" t="s">
        <v>531</v>
      </c>
      <c r="S182" s="215"/>
    </row>
    <row r="183" spans="1:20" s="113" customFormat="1" ht="12.75" customHeight="1">
      <c r="A183" s="202"/>
      <c r="B183" s="115" t="s">
        <v>221</v>
      </c>
      <c r="C183" s="160"/>
      <c r="D183" s="212"/>
      <c r="E183" s="118"/>
      <c r="F183" s="281">
        <f>SUM(F169:F182)</f>
        <v>1854.6076200000002</v>
      </c>
      <c r="G183" s="118"/>
      <c r="H183" s="101">
        <f>SUM(H169:H182)</f>
        <v>509.87322</v>
      </c>
      <c r="I183" s="370"/>
      <c r="J183" s="280">
        <f>SUM(J169:J182)</f>
        <v>0</v>
      </c>
      <c r="K183" s="285"/>
      <c r="L183" s="161">
        <f>SUM(L169:L182)</f>
        <v>0</v>
      </c>
      <c r="M183" s="370"/>
      <c r="N183" s="161">
        <f>SUM(N169:N182)</f>
        <v>1344.7344000000003</v>
      </c>
      <c r="O183" s="794"/>
      <c r="P183" s="808"/>
      <c r="Q183" s="235"/>
      <c r="R183" s="121"/>
      <c r="S183" s="112"/>
      <c r="T183" s="122"/>
    </row>
    <row r="184" spans="1:20" s="113" customFormat="1" ht="12.75" customHeight="1">
      <c r="A184" s="202"/>
      <c r="B184" s="133" t="s">
        <v>224</v>
      </c>
      <c r="C184" s="168"/>
      <c r="D184" s="217"/>
      <c r="E184" s="135"/>
      <c r="F184" s="751">
        <f>F167+F183</f>
        <v>3427.3076200000005</v>
      </c>
      <c r="G184" s="135"/>
      <c r="H184" s="134">
        <f>H167+H183</f>
        <v>1396.57322</v>
      </c>
      <c r="I184" s="223"/>
      <c r="J184" s="751">
        <f>J167+J183</f>
        <v>0</v>
      </c>
      <c r="K184" s="222"/>
      <c r="L184" s="134">
        <f>L167+L183</f>
        <v>0</v>
      </c>
      <c r="M184" s="223"/>
      <c r="N184" s="134">
        <f>N167+N183</f>
        <v>2030.7344000000003</v>
      </c>
      <c r="O184" s="794"/>
      <c r="P184" s="808"/>
      <c r="Q184" s="235"/>
      <c r="R184" s="121"/>
      <c r="S184" s="112"/>
      <c r="T184" s="122"/>
    </row>
    <row r="185" spans="1:19" s="113" customFormat="1" ht="12.75" customHeight="1">
      <c r="A185" s="218" t="s">
        <v>624</v>
      </c>
      <c r="B185" s="136" t="s">
        <v>662</v>
      </c>
      <c r="C185" s="108"/>
      <c r="D185" s="219"/>
      <c r="E185" s="109"/>
      <c r="F185" s="752"/>
      <c r="G185" s="109"/>
      <c r="H185" s="100"/>
      <c r="I185" s="99"/>
      <c r="J185" s="110"/>
      <c r="K185" s="109"/>
      <c r="L185" s="100"/>
      <c r="M185" s="99"/>
      <c r="N185" s="100"/>
      <c r="O185" s="794"/>
      <c r="P185" s="808"/>
      <c r="Q185" s="235"/>
      <c r="R185" s="121"/>
      <c r="S185" s="112"/>
    </row>
    <row r="186" spans="1:19" s="113" customFormat="1" ht="24" customHeight="1">
      <c r="A186" s="326" t="s">
        <v>749</v>
      </c>
      <c r="B186" s="327" t="s">
        <v>427</v>
      </c>
      <c r="C186" s="328" t="s">
        <v>580</v>
      </c>
      <c r="D186" s="329">
        <v>1950</v>
      </c>
      <c r="E186" s="462">
        <v>1</v>
      </c>
      <c r="F186" s="849">
        <f>E186*D186</f>
        <v>1950</v>
      </c>
      <c r="G186" s="325"/>
      <c r="H186" s="220"/>
      <c r="I186" s="236"/>
      <c r="J186" s="221"/>
      <c r="K186" s="325"/>
      <c r="L186" s="220"/>
      <c r="M186" s="236">
        <v>1</v>
      </c>
      <c r="N186" s="220">
        <f>D186*M186</f>
        <v>1950</v>
      </c>
      <c r="O186" s="791" t="s">
        <v>602</v>
      </c>
      <c r="P186" s="808"/>
      <c r="Q186" s="975" t="s">
        <v>701</v>
      </c>
      <c r="R186" s="111" t="s">
        <v>141</v>
      </c>
      <c r="S186" s="112"/>
    </row>
    <row r="187" spans="1:19" s="113" customFormat="1" ht="22.5" customHeight="1">
      <c r="A187" s="326" t="s">
        <v>782</v>
      </c>
      <c r="B187" s="327" t="s">
        <v>519</v>
      </c>
      <c r="C187" s="328" t="s">
        <v>580</v>
      </c>
      <c r="D187" s="329"/>
      <c r="E187" s="611"/>
      <c r="F187" s="849">
        <v>500</v>
      </c>
      <c r="G187" s="612"/>
      <c r="H187" s="613"/>
      <c r="I187" s="659"/>
      <c r="J187" s="757"/>
      <c r="K187" s="747"/>
      <c r="L187" s="613"/>
      <c r="M187" s="746"/>
      <c r="N187" s="220">
        <v>500</v>
      </c>
      <c r="O187" s="851" t="s">
        <v>603</v>
      </c>
      <c r="P187" s="808"/>
      <c r="Q187" s="976"/>
      <c r="R187" s="235"/>
      <c r="S187" s="112"/>
    </row>
    <row r="188" spans="1:19" s="113" customFormat="1" ht="24" customHeight="1">
      <c r="A188" s="326" t="s">
        <v>783</v>
      </c>
      <c r="B188" s="173" t="s">
        <v>34</v>
      </c>
      <c r="C188" s="745" t="s">
        <v>580</v>
      </c>
      <c r="D188" s="329">
        <v>69.9</v>
      </c>
      <c r="E188" s="611">
        <v>1</v>
      </c>
      <c r="F188" s="329">
        <v>69.9</v>
      </c>
      <c r="G188" s="109">
        <f>E188</f>
        <v>1</v>
      </c>
      <c r="H188" s="100">
        <f>F188</f>
        <v>69.9</v>
      </c>
      <c r="I188" s="99"/>
      <c r="J188" s="110"/>
      <c r="K188" s="109"/>
      <c r="L188" s="100"/>
      <c r="M188" s="746"/>
      <c r="N188" s="220"/>
      <c r="O188" s="851" t="s">
        <v>605</v>
      </c>
      <c r="P188" s="808"/>
      <c r="Q188" s="976"/>
      <c r="R188" s="315"/>
      <c r="S188" s="112"/>
    </row>
    <row r="189" spans="1:19" s="113" customFormat="1" ht="27" customHeight="1">
      <c r="A189" s="326" t="s">
        <v>784</v>
      </c>
      <c r="B189" s="173" t="s">
        <v>35</v>
      </c>
      <c r="C189" s="745" t="s">
        <v>580</v>
      </c>
      <c r="D189" s="329">
        <v>0.73</v>
      </c>
      <c r="E189" s="611">
        <v>50</v>
      </c>
      <c r="F189" s="329">
        <v>36.5</v>
      </c>
      <c r="G189" s="109">
        <f>E189</f>
        <v>50</v>
      </c>
      <c r="H189" s="100">
        <f>F189</f>
        <v>36.5</v>
      </c>
      <c r="I189" s="99"/>
      <c r="J189" s="110"/>
      <c r="K189" s="234"/>
      <c r="L189" s="175"/>
      <c r="M189" s="746"/>
      <c r="N189" s="220"/>
      <c r="O189" s="851" t="s">
        <v>605</v>
      </c>
      <c r="P189" s="808"/>
      <c r="Q189" s="977"/>
      <c r="R189" s="315"/>
      <c r="S189" s="112"/>
    </row>
    <row r="190" spans="1:20" s="113" customFormat="1" ht="12.75" customHeight="1" thickBot="1">
      <c r="A190" s="178"/>
      <c r="B190" s="140" t="s">
        <v>223</v>
      </c>
      <c r="C190" s="365"/>
      <c r="D190" s="429"/>
      <c r="E190" s="143"/>
      <c r="F190" s="753">
        <f>SUM(F186:F189)</f>
        <v>2556.4</v>
      </c>
      <c r="G190" s="398"/>
      <c r="H190" s="142">
        <f>SUM(H186:H189)</f>
        <v>106.4</v>
      </c>
      <c r="I190" s="398"/>
      <c r="J190" s="754">
        <f>SUM(J186:J189)</f>
        <v>0</v>
      </c>
      <c r="K190" s="380"/>
      <c r="L190" s="760">
        <f>SUM(L186:L189)</f>
        <v>0</v>
      </c>
      <c r="M190" s="398"/>
      <c r="N190" s="754">
        <f>SUM(N186:N189)</f>
        <v>2450</v>
      </c>
      <c r="O190" s="798"/>
      <c r="P190" s="808"/>
      <c r="Q190" s="235"/>
      <c r="R190" s="121"/>
      <c r="S190" s="112"/>
      <c r="T190" s="122"/>
    </row>
    <row r="191" spans="1:19" ht="15" customHeight="1" thickBot="1">
      <c r="A191" s="144" t="s">
        <v>225</v>
      </c>
      <c r="B191" s="145"/>
      <c r="C191" s="146"/>
      <c r="D191" s="422"/>
      <c r="E191" s="452"/>
      <c r="F191" s="147">
        <f>F190+F184</f>
        <v>5983.707620000001</v>
      </c>
      <c r="G191" s="224"/>
      <c r="H191" s="147">
        <f>H184+H190</f>
        <v>1502.97322</v>
      </c>
      <c r="I191" s="224"/>
      <c r="J191" s="147">
        <f>J184+J190</f>
        <v>0</v>
      </c>
      <c r="K191" s="224"/>
      <c r="L191" s="147">
        <f>L184+L190</f>
        <v>0</v>
      </c>
      <c r="M191" s="224"/>
      <c r="N191" s="147">
        <f>N184+N190</f>
        <v>4480.7344</v>
      </c>
      <c r="O191" s="798"/>
      <c r="P191" s="808"/>
      <c r="Q191" s="235"/>
      <c r="R191" s="94"/>
      <c r="S191" s="226"/>
    </row>
    <row r="192" spans="1:19" ht="12.75" customHeight="1">
      <c r="A192" s="330" t="s">
        <v>649</v>
      </c>
      <c r="B192" s="331"/>
      <c r="C192" s="331"/>
      <c r="D192" s="437"/>
      <c r="E192" s="459"/>
      <c r="F192" s="332"/>
      <c r="G192" s="155"/>
      <c r="H192" s="154"/>
      <c r="I192" s="155"/>
      <c r="J192" s="154"/>
      <c r="K192" s="153"/>
      <c r="L192" s="154"/>
      <c r="M192" s="155"/>
      <c r="N192" s="154"/>
      <c r="O192" s="796"/>
      <c r="P192" s="805"/>
      <c r="Q192" s="473"/>
      <c r="R192" s="156"/>
      <c r="S192" s="157"/>
    </row>
    <row r="193" spans="1:19" s="194" customFormat="1" ht="12.75" customHeight="1">
      <c r="A193" s="103" t="s">
        <v>226</v>
      </c>
      <c r="B193" s="159" t="s">
        <v>298</v>
      </c>
      <c r="C193" s="227"/>
      <c r="D193" s="438"/>
      <c r="E193" s="109"/>
      <c r="F193" s="100">
        <f>D193*E193</f>
        <v>0</v>
      </c>
      <c r="G193" s="203"/>
      <c r="H193" s="100">
        <f>G193*D193</f>
        <v>0</v>
      </c>
      <c r="I193" s="203"/>
      <c r="J193" s="100">
        <f>I193*D193</f>
        <v>0</v>
      </c>
      <c r="K193" s="198"/>
      <c r="L193" s="100">
        <f>K193*D193</f>
        <v>0</v>
      </c>
      <c r="M193" s="203"/>
      <c r="N193" s="100">
        <f>M193*D193</f>
        <v>0</v>
      </c>
      <c r="O193" s="791"/>
      <c r="P193" s="807"/>
      <c r="Q193" s="235"/>
      <c r="R193" s="111"/>
      <c r="S193" s="193"/>
    </row>
    <row r="194" spans="1:19" s="194" customFormat="1" ht="12.75" customHeight="1">
      <c r="A194" s="103" t="s">
        <v>279</v>
      </c>
      <c r="B194" s="159" t="s">
        <v>227</v>
      </c>
      <c r="C194" s="227"/>
      <c r="D194" s="438"/>
      <c r="E194" s="109"/>
      <c r="F194" s="100">
        <f>D194*E194</f>
        <v>0</v>
      </c>
      <c r="G194" s="203"/>
      <c r="H194" s="100">
        <f>G194*D194</f>
        <v>0</v>
      </c>
      <c r="I194" s="203"/>
      <c r="J194" s="100">
        <f>I194*D194</f>
        <v>0</v>
      </c>
      <c r="K194" s="198"/>
      <c r="L194" s="100">
        <f>K194*D194</f>
        <v>0</v>
      </c>
      <c r="M194" s="203"/>
      <c r="N194" s="100">
        <f>M194*D194</f>
        <v>0</v>
      </c>
      <c r="O194" s="791"/>
      <c r="P194" s="807"/>
      <c r="Q194" s="235"/>
      <c r="R194" s="192"/>
      <c r="S194" s="193"/>
    </row>
    <row r="195" spans="1:19" s="194" customFormat="1" ht="27" customHeight="1">
      <c r="A195" s="139" t="s">
        <v>749</v>
      </c>
      <c r="B195" s="123" t="s">
        <v>564</v>
      </c>
      <c r="C195" s="195" t="s">
        <v>580</v>
      </c>
      <c r="D195" s="415">
        <v>793</v>
      </c>
      <c r="E195" s="109">
        <v>1</v>
      </c>
      <c r="F195" s="847">
        <v>793</v>
      </c>
      <c r="G195" s="203"/>
      <c r="H195" s="198"/>
      <c r="I195" s="203">
        <v>1</v>
      </c>
      <c r="J195" s="100">
        <f>I195*D195</f>
        <v>793</v>
      </c>
      <c r="K195" s="198"/>
      <c r="L195" s="100"/>
      <c r="M195" s="203"/>
      <c r="N195" s="100"/>
      <c r="O195" s="851" t="s">
        <v>602</v>
      </c>
      <c r="P195" s="807"/>
      <c r="Q195" s="975" t="s">
        <v>702</v>
      </c>
      <c r="R195" s="975" t="s">
        <v>530</v>
      </c>
      <c r="S195" s="193"/>
    </row>
    <row r="196" spans="1:19" s="194" customFormat="1" ht="24" customHeight="1">
      <c r="A196" s="139" t="s">
        <v>782</v>
      </c>
      <c r="B196" s="123" t="s">
        <v>565</v>
      </c>
      <c r="C196" s="195" t="s">
        <v>580</v>
      </c>
      <c r="D196" s="415">
        <v>970</v>
      </c>
      <c r="E196" s="109">
        <v>1</v>
      </c>
      <c r="F196" s="847">
        <v>970</v>
      </c>
      <c r="G196" s="203"/>
      <c r="H196" s="198"/>
      <c r="I196" s="203"/>
      <c r="J196" s="100"/>
      <c r="K196" s="198">
        <v>1</v>
      </c>
      <c r="L196" s="100">
        <f>K196*D196</f>
        <v>970</v>
      </c>
      <c r="M196" s="203"/>
      <c r="N196" s="100"/>
      <c r="O196" s="851" t="s">
        <v>603</v>
      </c>
      <c r="P196" s="807"/>
      <c r="Q196" s="976"/>
      <c r="R196" s="977"/>
      <c r="S196" s="193"/>
    </row>
    <row r="197" spans="1:19" s="194" customFormat="1" ht="24" customHeight="1">
      <c r="A197" s="139" t="s">
        <v>783</v>
      </c>
      <c r="B197" s="123" t="s">
        <v>36</v>
      </c>
      <c r="C197" s="195" t="s">
        <v>580</v>
      </c>
      <c r="D197" s="415">
        <v>660</v>
      </c>
      <c r="E197" s="109">
        <v>1</v>
      </c>
      <c r="F197" s="100">
        <v>660</v>
      </c>
      <c r="G197" s="203">
        <f>E197</f>
        <v>1</v>
      </c>
      <c r="H197" s="198">
        <f>F197</f>
        <v>660</v>
      </c>
      <c r="I197" s="203"/>
      <c r="J197" s="100"/>
      <c r="K197" s="198"/>
      <c r="L197" s="100"/>
      <c r="M197" s="203"/>
      <c r="N197" s="100"/>
      <c r="O197" s="851" t="s">
        <v>605</v>
      </c>
      <c r="P197" s="807"/>
      <c r="Q197" s="976"/>
      <c r="R197" s="111"/>
      <c r="S197" s="193"/>
    </row>
    <row r="198" spans="1:19" s="194" customFormat="1" ht="28.5" customHeight="1">
      <c r="A198" s="139" t="s">
        <v>784</v>
      </c>
      <c r="B198" s="123" t="s">
        <v>374</v>
      </c>
      <c r="C198" s="195" t="s">
        <v>580</v>
      </c>
      <c r="D198" s="415">
        <v>71.59</v>
      </c>
      <c r="E198" s="109">
        <v>2</v>
      </c>
      <c r="F198" s="847">
        <v>143.18</v>
      </c>
      <c r="G198" s="203"/>
      <c r="H198" s="198"/>
      <c r="I198" s="665">
        <v>2</v>
      </c>
      <c r="J198" s="666">
        <f>I198*D198</f>
        <v>143.18</v>
      </c>
      <c r="K198" s="198"/>
      <c r="L198" s="100"/>
      <c r="M198" s="203"/>
      <c r="N198" s="100"/>
      <c r="O198" s="851" t="s">
        <v>603</v>
      </c>
      <c r="P198" s="807"/>
      <c r="Q198" s="976"/>
      <c r="R198" s="111"/>
      <c r="S198" s="193"/>
    </row>
    <row r="199" spans="1:19" s="194" customFormat="1" ht="28.5" customHeight="1">
      <c r="A199" s="139" t="s">
        <v>212</v>
      </c>
      <c r="B199" s="123" t="s">
        <v>374</v>
      </c>
      <c r="C199" s="195" t="s">
        <v>580</v>
      </c>
      <c r="D199" s="415">
        <v>78</v>
      </c>
      <c r="E199" s="109">
        <v>1</v>
      </c>
      <c r="F199" s="100">
        <v>78</v>
      </c>
      <c r="G199" s="203">
        <f>E199</f>
        <v>1</v>
      </c>
      <c r="H199" s="198">
        <f>F199</f>
        <v>78</v>
      </c>
      <c r="I199" s="665"/>
      <c r="J199" s="666"/>
      <c r="K199" s="198"/>
      <c r="L199" s="100"/>
      <c r="M199" s="203"/>
      <c r="N199" s="100"/>
      <c r="O199" s="851" t="s">
        <v>605</v>
      </c>
      <c r="P199" s="807"/>
      <c r="Q199" s="976"/>
      <c r="R199" s="111" t="s">
        <v>694</v>
      </c>
      <c r="S199" s="193"/>
    </row>
    <row r="200" spans="1:19" s="194" customFormat="1" ht="28.5" customHeight="1">
      <c r="A200" s="139" t="s">
        <v>213</v>
      </c>
      <c r="B200" s="123" t="s">
        <v>166</v>
      </c>
      <c r="C200" s="195" t="s">
        <v>580</v>
      </c>
      <c r="D200" s="415">
        <v>108</v>
      </c>
      <c r="E200" s="109">
        <v>2</v>
      </c>
      <c r="F200" s="847">
        <v>216</v>
      </c>
      <c r="G200" s="203"/>
      <c r="H200" s="198"/>
      <c r="I200" s="203">
        <v>2</v>
      </c>
      <c r="J200" s="666">
        <f>I200*D200</f>
        <v>216</v>
      </c>
      <c r="K200" s="198"/>
      <c r="L200" s="100"/>
      <c r="M200" s="203"/>
      <c r="N200" s="100"/>
      <c r="O200" s="851" t="s">
        <v>603</v>
      </c>
      <c r="P200" s="807"/>
      <c r="Q200" s="976"/>
      <c r="R200" s="111"/>
      <c r="S200" s="193"/>
    </row>
    <row r="201" spans="1:19" s="194" customFormat="1" ht="28.5" customHeight="1">
      <c r="A201" s="139" t="s">
        <v>785</v>
      </c>
      <c r="B201" s="123" t="s">
        <v>166</v>
      </c>
      <c r="C201" s="195" t="s">
        <v>580</v>
      </c>
      <c r="D201" s="415">
        <v>110</v>
      </c>
      <c r="E201" s="109">
        <v>1</v>
      </c>
      <c r="F201" s="100">
        <v>110</v>
      </c>
      <c r="G201" s="203">
        <f>E201</f>
        <v>1</v>
      </c>
      <c r="H201" s="198">
        <f>F201</f>
        <v>110</v>
      </c>
      <c r="I201" s="203"/>
      <c r="J201" s="666"/>
      <c r="K201" s="198"/>
      <c r="L201" s="100"/>
      <c r="M201" s="203"/>
      <c r="N201" s="100"/>
      <c r="O201" s="851" t="s">
        <v>605</v>
      </c>
      <c r="P201" s="807"/>
      <c r="Q201" s="976"/>
      <c r="R201" s="111" t="s">
        <v>694</v>
      </c>
      <c r="S201" s="193"/>
    </row>
    <row r="202" spans="1:19" s="194" customFormat="1" ht="60.75" customHeight="1">
      <c r="A202" s="139" t="s">
        <v>786</v>
      </c>
      <c r="B202" s="123" t="s">
        <v>375</v>
      </c>
      <c r="C202" s="108" t="s">
        <v>222</v>
      </c>
      <c r="D202" s="415">
        <v>494</v>
      </c>
      <c r="E202" s="109">
        <v>3</v>
      </c>
      <c r="F202" s="847">
        <v>1482</v>
      </c>
      <c r="G202" s="203">
        <v>1</v>
      </c>
      <c r="H202" s="198">
        <f>G202*D202</f>
        <v>494</v>
      </c>
      <c r="I202" s="203">
        <v>1</v>
      </c>
      <c r="J202" s="100">
        <f>I202*D202</f>
        <v>494</v>
      </c>
      <c r="K202" s="198">
        <v>1</v>
      </c>
      <c r="L202" s="100">
        <f>K202*D202</f>
        <v>494</v>
      </c>
      <c r="M202" s="203"/>
      <c r="N202" s="100"/>
      <c r="O202" s="851" t="s">
        <v>798</v>
      </c>
      <c r="P202" s="807"/>
      <c r="Q202" s="977"/>
      <c r="R202" s="111" t="s">
        <v>530</v>
      </c>
      <c r="S202" s="193"/>
    </row>
    <row r="203" spans="1:20" s="113" customFormat="1" ht="12.75" customHeight="1">
      <c r="A203" s="106"/>
      <c r="B203" s="115" t="s">
        <v>228</v>
      </c>
      <c r="C203" s="160"/>
      <c r="D203" s="119"/>
      <c r="E203" s="118"/>
      <c r="F203" s="101">
        <f>SUM(F193:F202)</f>
        <v>4452.18</v>
      </c>
      <c r="G203" s="118"/>
      <c r="H203" s="101">
        <f>SUM(H195:H202)</f>
        <v>1342</v>
      </c>
      <c r="I203" s="285"/>
      <c r="J203" s="161">
        <f>SUM(J195:J202)</f>
        <v>1646.18</v>
      </c>
      <c r="K203" s="370"/>
      <c r="L203" s="161">
        <f>SUM(L195:L202)</f>
        <v>1464</v>
      </c>
      <c r="M203" s="285"/>
      <c r="N203" s="161">
        <f>SUM(N195:N202)</f>
        <v>0</v>
      </c>
      <c r="O203" s="791"/>
      <c r="P203" s="807"/>
      <c r="Q203" s="235"/>
      <c r="R203" s="121"/>
      <c r="S203" s="112"/>
      <c r="T203" s="122"/>
    </row>
    <row r="204" spans="1:20" s="113" customFormat="1" ht="12.75" customHeight="1">
      <c r="A204" s="228" t="s">
        <v>280</v>
      </c>
      <c r="B204" s="136" t="s">
        <v>553</v>
      </c>
      <c r="C204" s="108"/>
      <c r="D204" s="110"/>
      <c r="E204" s="109"/>
      <c r="F204" s="98"/>
      <c r="G204" s="109"/>
      <c r="H204" s="100"/>
      <c r="I204" s="109"/>
      <c r="J204" s="100"/>
      <c r="K204" s="99"/>
      <c r="L204" s="100"/>
      <c r="M204" s="109"/>
      <c r="N204" s="100"/>
      <c r="O204" s="794"/>
      <c r="P204" s="807"/>
      <c r="Q204" s="235"/>
      <c r="R204" s="121"/>
      <c r="S204" s="112"/>
      <c r="T204" s="122"/>
    </row>
    <row r="205" spans="1:20" s="113" customFormat="1" ht="24" customHeight="1">
      <c r="A205" s="120" t="s">
        <v>749</v>
      </c>
      <c r="B205" s="123" t="s">
        <v>573</v>
      </c>
      <c r="C205" s="108" t="s">
        <v>222</v>
      </c>
      <c r="D205" s="110"/>
      <c r="E205" s="109"/>
      <c r="F205" s="850">
        <v>770</v>
      </c>
      <c r="G205" s="376"/>
      <c r="H205" s="100"/>
      <c r="I205" s="109"/>
      <c r="J205" s="100"/>
      <c r="K205" s="99"/>
      <c r="L205" s="100"/>
      <c r="M205" s="109"/>
      <c r="N205" s="100">
        <v>770</v>
      </c>
      <c r="O205" s="851" t="s">
        <v>603</v>
      </c>
      <c r="P205" s="807"/>
      <c r="Q205" s="471" t="s">
        <v>702</v>
      </c>
      <c r="R205" s="111" t="s">
        <v>695</v>
      </c>
      <c r="S205" s="112"/>
      <c r="T205" s="122"/>
    </row>
    <row r="206" spans="1:20" s="113" customFormat="1" ht="12.75" customHeight="1">
      <c r="A206" s="106"/>
      <c r="B206" s="115" t="s">
        <v>185</v>
      </c>
      <c r="C206" s="160"/>
      <c r="D206" s="119"/>
      <c r="E206" s="118"/>
      <c r="F206" s="101">
        <f>F205</f>
        <v>770</v>
      </c>
      <c r="G206" s="118"/>
      <c r="H206" s="101">
        <f>H205</f>
        <v>0</v>
      </c>
      <c r="I206" s="285"/>
      <c r="J206" s="101">
        <f>J205</f>
        <v>0</v>
      </c>
      <c r="K206" s="370"/>
      <c r="L206" s="101">
        <f>L205</f>
        <v>0</v>
      </c>
      <c r="M206" s="285"/>
      <c r="N206" s="101">
        <f>N205</f>
        <v>770</v>
      </c>
      <c r="O206" s="851"/>
      <c r="P206" s="807"/>
      <c r="Q206" s="235"/>
      <c r="R206" s="111"/>
      <c r="S206" s="112"/>
      <c r="T206" s="122"/>
    </row>
    <row r="207" spans="1:20" s="113" customFormat="1" ht="12.75" customHeight="1">
      <c r="A207" s="106"/>
      <c r="B207" s="133" t="s">
        <v>229</v>
      </c>
      <c r="C207" s="168"/>
      <c r="D207" s="425"/>
      <c r="E207" s="135"/>
      <c r="F207" s="134">
        <f>F203+F206</f>
        <v>5222.18</v>
      </c>
      <c r="G207" s="135"/>
      <c r="H207" s="134">
        <f>H203+H206</f>
        <v>1342</v>
      </c>
      <c r="I207" s="222"/>
      <c r="J207" s="134">
        <f>J203+J206</f>
        <v>1646.18</v>
      </c>
      <c r="K207" s="223"/>
      <c r="L207" s="134">
        <f>L203+L206</f>
        <v>1464</v>
      </c>
      <c r="M207" s="222"/>
      <c r="N207" s="134">
        <f>N203+N206</f>
        <v>770</v>
      </c>
      <c r="O207" s="851"/>
      <c r="P207" s="807"/>
      <c r="Q207" s="235"/>
      <c r="R207" s="111"/>
      <c r="S207" s="112"/>
      <c r="T207" s="122"/>
    </row>
    <row r="208" spans="1:20" s="113" customFormat="1" ht="12.75" customHeight="1">
      <c r="A208" s="228" t="s">
        <v>230</v>
      </c>
      <c r="B208" s="229" t="s">
        <v>249</v>
      </c>
      <c r="C208" s="230"/>
      <c r="D208" s="299"/>
      <c r="E208" s="282"/>
      <c r="F208" s="100">
        <f>D208*E208</f>
        <v>0</v>
      </c>
      <c r="G208" s="234"/>
      <c r="H208" s="100">
        <f>G208*D208</f>
        <v>0</v>
      </c>
      <c r="I208" s="109"/>
      <c r="J208" s="100">
        <f>I208*D208</f>
        <v>0</v>
      </c>
      <c r="K208" s="99"/>
      <c r="L208" s="100">
        <f>K208*D208</f>
        <v>0</v>
      </c>
      <c r="M208" s="109"/>
      <c r="N208" s="100">
        <f>M208*D208</f>
        <v>0</v>
      </c>
      <c r="O208" s="851"/>
      <c r="P208" s="807"/>
      <c r="Q208" s="235"/>
      <c r="R208" s="111"/>
      <c r="S208" s="112"/>
      <c r="T208" s="122"/>
    </row>
    <row r="209" spans="1:20" s="113" customFormat="1" ht="27.75" customHeight="1">
      <c r="A209" s="239" t="s">
        <v>749</v>
      </c>
      <c r="B209" s="231" t="s">
        <v>409</v>
      </c>
      <c r="C209" s="232" t="s">
        <v>580</v>
      </c>
      <c r="D209" s="177">
        <v>23.78</v>
      </c>
      <c r="E209" s="454">
        <v>1</v>
      </c>
      <c r="F209" s="847">
        <f>E209*D209</f>
        <v>23.78</v>
      </c>
      <c r="G209" s="234">
        <v>1</v>
      </c>
      <c r="H209" s="175">
        <f>G209*D209</f>
        <v>23.78</v>
      </c>
      <c r="I209" s="234"/>
      <c r="J209" s="175"/>
      <c r="K209" s="233"/>
      <c r="L209" s="175"/>
      <c r="M209" s="234"/>
      <c r="N209" s="175"/>
      <c r="O209" s="851" t="s">
        <v>602</v>
      </c>
      <c r="P209" s="807"/>
      <c r="Q209" s="975" t="s">
        <v>702</v>
      </c>
      <c r="R209" s="111" t="s">
        <v>497</v>
      </c>
      <c r="S209" s="112"/>
      <c r="T209" s="122"/>
    </row>
    <row r="210" spans="1:20" s="113" customFormat="1" ht="33" customHeight="1">
      <c r="A210" s="239" t="s">
        <v>782</v>
      </c>
      <c r="B210" s="231" t="s">
        <v>37</v>
      </c>
      <c r="C210" s="232" t="s">
        <v>580</v>
      </c>
      <c r="D210" s="177">
        <v>50</v>
      </c>
      <c r="E210" s="454">
        <v>1</v>
      </c>
      <c r="F210" s="399">
        <v>50</v>
      </c>
      <c r="G210" s="234">
        <v>1</v>
      </c>
      <c r="H210" s="175">
        <f>G210*D210</f>
        <v>50</v>
      </c>
      <c r="I210" s="234"/>
      <c r="J210" s="175"/>
      <c r="K210" s="233"/>
      <c r="L210" s="175"/>
      <c r="M210" s="234"/>
      <c r="N210" s="175"/>
      <c r="O210" s="851" t="s">
        <v>605</v>
      </c>
      <c r="P210" s="807"/>
      <c r="Q210" s="976"/>
      <c r="R210" s="111"/>
      <c r="S210" s="112"/>
      <c r="T210" s="122"/>
    </row>
    <row r="211" spans="1:20" s="113" customFormat="1" ht="30.75" customHeight="1">
      <c r="A211" s="239" t="s">
        <v>783</v>
      </c>
      <c r="B211" s="231" t="s">
        <v>38</v>
      </c>
      <c r="C211" s="232" t="s">
        <v>222</v>
      </c>
      <c r="D211" s="177">
        <v>16.47</v>
      </c>
      <c r="E211" s="454">
        <v>5</v>
      </c>
      <c r="F211" s="399">
        <v>82.35</v>
      </c>
      <c r="G211" s="234">
        <v>5</v>
      </c>
      <c r="H211" s="175">
        <f>G211*D211</f>
        <v>82.35</v>
      </c>
      <c r="I211" s="234"/>
      <c r="J211" s="175"/>
      <c r="K211" s="233"/>
      <c r="L211" s="175"/>
      <c r="M211" s="234"/>
      <c r="N211" s="175"/>
      <c r="O211" s="851" t="s">
        <v>605</v>
      </c>
      <c r="P211" s="807"/>
      <c r="Q211" s="976"/>
      <c r="R211" s="111"/>
      <c r="S211" s="112"/>
      <c r="T211" s="122"/>
    </row>
    <row r="212" spans="1:20" s="113" customFormat="1" ht="30.75" customHeight="1">
      <c r="A212" s="239" t="s">
        <v>784</v>
      </c>
      <c r="B212" s="761" t="s">
        <v>39</v>
      </c>
      <c r="C212" s="232" t="s">
        <v>222</v>
      </c>
      <c r="D212" s="177">
        <v>18.4</v>
      </c>
      <c r="E212" s="454">
        <v>3</v>
      </c>
      <c r="F212" s="399">
        <v>55.2</v>
      </c>
      <c r="G212" s="234">
        <v>3</v>
      </c>
      <c r="H212" s="175">
        <f>G212*D212</f>
        <v>55.199999999999996</v>
      </c>
      <c r="I212" s="234"/>
      <c r="J212" s="175"/>
      <c r="K212" s="233"/>
      <c r="L212" s="175"/>
      <c r="M212" s="234"/>
      <c r="N212" s="175"/>
      <c r="O212" s="851" t="s">
        <v>605</v>
      </c>
      <c r="P212" s="807"/>
      <c r="Q212" s="977"/>
      <c r="R212" s="111"/>
      <c r="S212" s="112"/>
      <c r="T212" s="122"/>
    </row>
    <row r="213" spans="1:20" s="113" customFormat="1" ht="18" customHeight="1" thickBot="1">
      <c r="A213" s="333"/>
      <c r="B213" s="334" t="s">
        <v>231</v>
      </c>
      <c r="C213" s="335"/>
      <c r="D213" s="439"/>
      <c r="E213" s="205"/>
      <c r="F213" s="142">
        <f>SUM(F209:F212)</f>
        <v>211.32999999999998</v>
      </c>
      <c r="G213" s="143"/>
      <c r="H213" s="180">
        <f>SUM(H209:H212)</f>
        <v>211.32999999999998</v>
      </c>
      <c r="I213" s="398"/>
      <c r="J213" s="760">
        <f>SUM(J209:J212)</f>
        <v>0</v>
      </c>
      <c r="K213" s="398"/>
      <c r="L213" s="760">
        <f>SUM(L209:L212)</f>
        <v>0</v>
      </c>
      <c r="M213" s="398"/>
      <c r="N213" s="760">
        <f>SUM(N209:N212)</f>
        <v>0</v>
      </c>
      <c r="O213" s="791"/>
      <c r="P213" s="807"/>
      <c r="Q213" s="235"/>
      <c r="R213" s="121"/>
      <c r="S213" s="112"/>
      <c r="T213" s="122"/>
    </row>
    <row r="214" spans="1:19" ht="16.5" customHeight="1" thickBot="1">
      <c r="A214" s="144" t="s">
        <v>232</v>
      </c>
      <c r="B214" s="145"/>
      <c r="C214" s="146"/>
      <c r="D214" s="422"/>
      <c r="E214" s="452"/>
      <c r="F214" s="147">
        <f>F213+F207</f>
        <v>5433.51</v>
      </c>
      <c r="G214" s="148"/>
      <c r="H214" s="147">
        <f>H213+H207</f>
        <v>1553.33</v>
      </c>
      <c r="I214" s="378"/>
      <c r="J214" s="225">
        <f>J213+J207</f>
        <v>1646.18</v>
      </c>
      <c r="K214" s="379"/>
      <c r="L214" s="147">
        <f>L213+L207</f>
        <v>1464</v>
      </c>
      <c r="M214" s="379"/>
      <c r="N214" s="147">
        <f>N213+N207</f>
        <v>770</v>
      </c>
      <c r="O214" s="791"/>
      <c r="P214" s="807"/>
      <c r="Q214" s="235"/>
      <c r="R214" s="94"/>
      <c r="S214" s="226"/>
    </row>
    <row r="215" spans="1:19" ht="12.75" customHeight="1">
      <c r="A215" s="151" t="s">
        <v>650</v>
      </c>
      <c r="B215" s="152"/>
      <c r="C215" s="152"/>
      <c r="D215" s="423"/>
      <c r="E215" s="639"/>
      <c r="F215" s="332"/>
      <c r="G215" s="207"/>
      <c r="H215" s="208"/>
      <c r="I215" s="207"/>
      <c r="J215" s="208"/>
      <c r="K215" s="207"/>
      <c r="L215" s="208"/>
      <c r="M215" s="207"/>
      <c r="N215" s="208"/>
      <c r="O215" s="796"/>
      <c r="P215" s="805"/>
      <c r="Q215" s="473"/>
      <c r="R215" s="156"/>
      <c r="S215" s="157"/>
    </row>
    <row r="216" spans="1:19" s="96" customFormat="1" ht="35.25" customHeight="1">
      <c r="A216" s="120" t="s">
        <v>749</v>
      </c>
      <c r="B216" s="164" t="s">
        <v>163</v>
      </c>
      <c r="C216" s="108" t="s">
        <v>580</v>
      </c>
      <c r="D216" s="110">
        <v>455.98</v>
      </c>
      <c r="E216" s="109">
        <v>3</v>
      </c>
      <c r="F216" s="847">
        <f>E216*D216</f>
        <v>1367.94</v>
      </c>
      <c r="G216" s="393"/>
      <c r="H216" s="100"/>
      <c r="I216" s="766"/>
      <c r="J216" s="220"/>
      <c r="K216" s="203"/>
      <c r="L216" s="100"/>
      <c r="M216" s="203">
        <v>3</v>
      </c>
      <c r="N216" s="100">
        <f>M216*D216</f>
        <v>1367.94</v>
      </c>
      <c r="O216" s="851" t="s">
        <v>603</v>
      </c>
      <c r="P216" s="809"/>
      <c r="Q216" s="976" t="s">
        <v>703</v>
      </c>
      <c r="R216" s="972" t="s">
        <v>498</v>
      </c>
      <c r="S216" s="95"/>
    </row>
    <row r="217" spans="1:19" s="96" customFormat="1" ht="27" customHeight="1">
      <c r="A217" s="120" t="s">
        <v>782</v>
      </c>
      <c r="B217" s="164" t="s">
        <v>398</v>
      </c>
      <c r="C217" s="108" t="s">
        <v>580</v>
      </c>
      <c r="D217" s="110">
        <v>210.45</v>
      </c>
      <c r="E217" s="109">
        <v>5</v>
      </c>
      <c r="F217" s="847">
        <f>E217*D217</f>
        <v>1052.25</v>
      </c>
      <c r="G217" s="393"/>
      <c r="H217" s="100"/>
      <c r="I217" s="203"/>
      <c r="J217" s="100"/>
      <c r="K217" s="203"/>
      <c r="L217" s="100"/>
      <c r="M217" s="203">
        <v>5</v>
      </c>
      <c r="N217" s="100">
        <f>M217*D217</f>
        <v>1052.25</v>
      </c>
      <c r="O217" s="851" t="s">
        <v>603</v>
      </c>
      <c r="P217" s="809"/>
      <c r="Q217" s="976"/>
      <c r="R217" s="974"/>
      <c r="S217" s="95"/>
    </row>
    <row r="218" spans="1:19" s="96" customFormat="1" ht="33.75" customHeight="1">
      <c r="A218" s="120" t="s">
        <v>783</v>
      </c>
      <c r="B218" s="23" t="s">
        <v>424</v>
      </c>
      <c r="C218" s="108" t="s">
        <v>580</v>
      </c>
      <c r="D218" s="415">
        <v>398</v>
      </c>
      <c r="E218" s="109">
        <v>3</v>
      </c>
      <c r="F218" s="847">
        <f>E218*D218</f>
        <v>1194</v>
      </c>
      <c r="G218" s="764"/>
      <c r="H218" s="175"/>
      <c r="I218" s="763"/>
      <c r="J218" s="613"/>
      <c r="K218" s="234"/>
      <c r="L218" s="175"/>
      <c r="M218" s="240">
        <v>3</v>
      </c>
      <c r="N218" s="175">
        <f>M218*D218</f>
        <v>1194</v>
      </c>
      <c r="O218" s="851" t="s">
        <v>602</v>
      </c>
      <c r="P218" s="809"/>
      <c r="Q218" s="976"/>
      <c r="R218" s="252" t="s">
        <v>142</v>
      </c>
      <c r="S218" s="95"/>
    </row>
    <row r="219" spans="1:19" s="96" customFormat="1" ht="33.75" customHeight="1">
      <c r="A219" s="120" t="s">
        <v>784</v>
      </c>
      <c r="B219" s="164" t="s">
        <v>40</v>
      </c>
      <c r="C219" s="108" t="s">
        <v>580</v>
      </c>
      <c r="D219" s="709">
        <v>385</v>
      </c>
      <c r="E219" s="109">
        <v>5</v>
      </c>
      <c r="F219" s="100">
        <v>1925</v>
      </c>
      <c r="G219" s="393">
        <v>5</v>
      </c>
      <c r="H219" s="100">
        <f>G219*D219</f>
        <v>1925</v>
      </c>
      <c r="I219" s="203"/>
      <c r="J219" s="100"/>
      <c r="K219" s="109"/>
      <c r="L219" s="100"/>
      <c r="M219" s="203"/>
      <c r="N219" s="100"/>
      <c r="O219" s="851" t="s">
        <v>605</v>
      </c>
      <c r="P219" s="809"/>
      <c r="Q219" s="976"/>
      <c r="R219" s="252"/>
      <c r="S219" s="95"/>
    </row>
    <row r="220" spans="1:19" s="96" customFormat="1" ht="33.75" customHeight="1" thickBot="1">
      <c r="A220" s="120" t="s">
        <v>212</v>
      </c>
      <c r="B220" s="23" t="s">
        <v>41</v>
      </c>
      <c r="C220" s="108" t="s">
        <v>580</v>
      </c>
      <c r="D220" s="762">
        <v>385</v>
      </c>
      <c r="E220" s="768">
        <v>1</v>
      </c>
      <c r="F220" s="769">
        <v>385</v>
      </c>
      <c r="G220" s="771">
        <v>1</v>
      </c>
      <c r="H220" s="175">
        <f>G220*D220</f>
        <v>385</v>
      </c>
      <c r="I220" s="767"/>
      <c r="J220" s="759"/>
      <c r="K220" s="758"/>
      <c r="L220" s="759"/>
      <c r="M220" s="767"/>
      <c r="N220" s="759"/>
      <c r="O220" s="851" t="s">
        <v>605</v>
      </c>
      <c r="P220" s="809"/>
      <c r="Q220" s="977"/>
      <c r="R220" s="252"/>
      <c r="S220" s="95"/>
    </row>
    <row r="221" spans="1:19" ht="16.5" customHeight="1" thickBot="1">
      <c r="A221" s="144" t="s">
        <v>233</v>
      </c>
      <c r="B221" s="145"/>
      <c r="C221" s="237"/>
      <c r="D221" s="422"/>
      <c r="E221" s="452"/>
      <c r="F221" s="147">
        <f>SUM(F216:F220)</f>
        <v>5924.1900000000005</v>
      </c>
      <c r="G221" s="148"/>
      <c r="H221" s="147">
        <f>SUM(H216:H220)</f>
        <v>2310</v>
      </c>
      <c r="I221" s="379"/>
      <c r="J221" s="770">
        <f>SUM(J216:J220)</f>
        <v>0</v>
      </c>
      <c r="K221" s="379"/>
      <c r="L221" s="770">
        <f>SUM(L216:L220)</f>
        <v>0</v>
      </c>
      <c r="M221" s="379"/>
      <c r="N221" s="770">
        <f>SUM(N216:N220)</f>
        <v>3614.19</v>
      </c>
      <c r="O221" s="791"/>
      <c r="P221" s="809"/>
      <c r="Q221" s="131"/>
      <c r="R221" s="238"/>
      <c r="S221" s="83"/>
    </row>
    <row r="222" spans="1:19" ht="12.75" customHeight="1" thickBot="1">
      <c r="A222" s="85" t="s">
        <v>568</v>
      </c>
      <c r="B222" s="412"/>
      <c r="C222" s="86"/>
      <c r="D222" s="430"/>
      <c r="E222" s="463"/>
      <c r="F222" s="774"/>
      <c r="G222" s="278"/>
      <c r="H222" s="289"/>
      <c r="I222" s="278"/>
      <c r="J222" s="279"/>
      <c r="K222" s="396"/>
      <c r="L222" s="279"/>
      <c r="M222" s="278"/>
      <c r="N222" s="279"/>
      <c r="O222" s="797"/>
      <c r="P222" s="85"/>
      <c r="Q222" s="474"/>
      <c r="R222" s="184"/>
      <c r="S222" s="185"/>
    </row>
    <row r="223" spans="1:21" ht="15.75" customHeight="1">
      <c r="A223" s="373" t="s">
        <v>566</v>
      </c>
      <c r="B223" s="360" t="s">
        <v>408</v>
      </c>
      <c r="C223" s="84"/>
      <c r="D223" s="440"/>
      <c r="E223" s="411"/>
      <c r="F223" s="83"/>
      <c r="G223" s="240"/>
      <c r="H223" s="177"/>
      <c r="I223" s="240"/>
      <c r="J223" s="175"/>
      <c r="K223" s="397"/>
      <c r="L223" s="177"/>
      <c r="M223" s="778"/>
      <c r="N223" s="779"/>
      <c r="O223" s="791"/>
      <c r="P223" s="809"/>
      <c r="Q223" s="164"/>
      <c r="R223" s="111"/>
      <c r="S223" s="83"/>
      <c r="U223" s="150"/>
    </row>
    <row r="224" spans="1:21" ht="54" customHeight="1">
      <c r="A224" s="239" t="s">
        <v>749</v>
      </c>
      <c r="B224" s="173" t="s">
        <v>404</v>
      </c>
      <c r="C224" s="132"/>
      <c r="D224" s="776"/>
      <c r="E224" s="234"/>
      <c r="F224" s="847">
        <f>842.34+0.29-124.05+60+123.76+63.31-35.09</f>
        <v>930.5600000000001</v>
      </c>
      <c r="G224" s="240"/>
      <c r="H224" s="177"/>
      <c r="I224" s="203"/>
      <c r="J224" s="100">
        <f>F224/3</f>
        <v>310.18666666666667</v>
      </c>
      <c r="K224" s="198"/>
      <c r="L224" s="110">
        <f>F224/3</f>
        <v>310.18666666666667</v>
      </c>
      <c r="M224" s="203"/>
      <c r="N224" s="100">
        <v>310.19</v>
      </c>
      <c r="O224" s="851" t="s">
        <v>604</v>
      </c>
      <c r="P224" s="810"/>
      <c r="Q224" s="975" t="s">
        <v>704</v>
      </c>
      <c r="R224" s="132" t="s">
        <v>164</v>
      </c>
      <c r="S224" s="799"/>
      <c r="U224" s="150"/>
    </row>
    <row r="225" spans="1:21" ht="31.5" customHeight="1">
      <c r="A225" s="239" t="s">
        <v>782</v>
      </c>
      <c r="B225" s="173" t="s">
        <v>42</v>
      </c>
      <c r="C225" s="111"/>
      <c r="D225" s="681"/>
      <c r="E225" s="109"/>
      <c r="F225" s="300">
        <v>181.81</v>
      </c>
      <c r="G225" s="203">
        <f aca="true" t="shared" si="17" ref="G225:H228">E225</f>
        <v>0</v>
      </c>
      <c r="H225" s="198">
        <f t="shared" si="17"/>
        <v>181.81</v>
      </c>
      <c r="I225" s="203"/>
      <c r="J225" s="100"/>
      <c r="K225" s="198"/>
      <c r="L225" s="110"/>
      <c r="M225" s="203"/>
      <c r="N225" s="100"/>
      <c r="O225" s="851" t="s">
        <v>605</v>
      </c>
      <c r="P225" s="809"/>
      <c r="Q225" s="976"/>
      <c r="R225" s="111" t="s">
        <v>499</v>
      </c>
      <c r="S225" s="83"/>
      <c r="U225" s="150"/>
    </row>
    <row r="226" spans="1:21" ht="34.5" customHeight="1">
      <c r="A226" s="239" t="s">
        <v>783</v>
      </c>
      <c r="B226" s="173" t="s">
        <v>43</v>
      </c>
      <c r="C226" s="111"/>
      <c r="D226" s="681"/>
      <c r="E226" s="109"/>
      <c r="F226" s="772">
        <v>331.7</v>
      </c>
      <c r="G226" s="203">
        <f t="shared" si="17"/>
        <v>0</v>
      </c>
      <c r="H226" s="198">
        <f t="shared" si="17"/>
        <v>331.7</v>
      </c>
      <c r="I226" s="203"/>
      <c r="J226" s="100"/>
      <c r="K226" s="198"/>
      <c r="L226" s="110"/>
      <c r="M226" s="203"/>
      <c r="N226" s="100"/>
      <c r="O226" s="851" t="s">
        <v>605</v>
      </c>
      <c r="P226" s="809"/>
      <c r="Q226" s="976"/>
      <c r="R226" s="111"/>
      <c r="S226" s="83"/>
      <c r="U226" s="150"/>
    </row>
    <row r="227" spans="1:21" ht="36.75" customHeight="1">
      <c r="A227" s="239" t="s">
        <v>784</v>
      </c>
      <c r="B227" s="123" t="s">
        <v>44</v>
      </c>
      <c r="C227" s="111" t="s">
        <v>580</v>
      </c>
      <c r="D227" s="681">
        <v>19.44</v>
      </c>
      <c r="E227" s="109">
        <v>1</v>
      </c>
      <c r="F227" s="300">
        <v>19.44</v>
      </c>
      <c r="G227" s="203">
        <f t="shared" si="17"/>
        <v>1</v>
      </c>
      <c r="H227" s="198">
        <f t="shared" si="17"/>
        <v>19.44</v>
      </c>
      <c r="I227" s="203"/>
      <c r="J227" s="100"/>
      <c r="K227" s="198"/>
      <c r="L227" s="110"/>
      <c r="M227" s="203"/>
      <c r="N227" s="100"/>
      <c r="O227" s="851" t="s">
        <v>605</v>
      </c>
      <c r="P227" s="809"/>
      <c r="Q227" s="976"/>
      <c r="R227" s="111"/>
      <c r="S227" s="83"/>
      <c r="U227" s="150"/>
    </row>
    <row r="228" spans="1:21" ht="30" customHeight="1" thickBot="1">
      <c r="A228" s="239" t="s">
        <v>212</v>
      </c>
      <c r="B228" s="773" t="s">
        <v>41</v>
      </c>
      <c r="C228" s="777" t="s">
        <v>580</v>
      </c>
      <c r="D228" s="659">
        <v>499.2</v>
      </c>
      <c r="E228" s="768">
        <v>1</v>
      </c>
      <c r="F228" s="775">
        <v>499.2</v>
      </c>
      <c r="G228" s="767">
        <f t="shared" si="17"/>
        <v>1</v>
      </c>
      <c r="H228" s="198">
        <f t="shared" si="17"/>
        <v>499.2</v>
      </c>
      <c r="I228" s="767"/>
      <c r="J228" s="759"/>
      <c r="K228" s="397"/>
      <c r="L228" s="177"/>
      <c r="M228" s="767"/>
      <c r="N228" s="759"/>
      <c r="O228" s="853" t="s">
        <v>605</v>
      </c>
      <c r="P228" s="811"/>
      <c r="Q228" s="981"/>
      <c r="R228" s="812"/>
      <c r="S228" s="813"/>
      <c r="U228" s="150"/>
    </row>
    <row r="229" spans="1:19" ht="15" customHeight="1" thickBot="1">
      <c r="A229" s="144" t="s">
        <v>234</v>
      </c>
      <c r="B229" s="145"/>
      <c r="C229" s="146"/>
      <c r="D229" s="394"/>
      <c r="E229" s="452"/>
      <c r="F229" s="147">
        <f>SUM(F224:F228)</f>
        <v>1962.7100000000003</v>
      </c>
      <c r="G229" s="379"/>
      <c r="H229" s="465">
        <f aca="true" t="shared" si="18" ref="H229:N229">SUM(H224:H228)</f>
        <v>1032.15</v>
      </c>
      <c r="I229" s="765"/>
      <c r="J229" s="770">
        <f t="shared" si="18"/>
        <v>310.18666666666667</v>
      </c>
      <c r="K229" s="379"/>
      <c r="L229" s="465">
        <f t="shared" si="18"/>
        <v>310.18666666666667</v>
      </c>
      <c r="M229" s="765"/>
      <c r="N229" s="770">
        <f t="shared" si="18"/>
        <v>310.19</v>
      </c>
      <c r="O229" s="637"/>
      <c r="P229" s="311"/>
      <c r="Q229" s="312"/>
      <c r="R229" s="313" t="s">
        <v>582</v>
      </c>
      <c r="S229" s="314"/>
    </row>
    <row r="230" spans="1:22" ht="15" customHeight="1" thickBot="1">
      <c r="A230" s="988" t="s">
        <v>607</v>
      </c>
      <c r="B230" s="989"/>
      <c r="C230" s="989"/>
      <c r="D230" s="989"/>
      <c r="E230" s="640"/>
      <c r="F230" s="242">
        <f>F86+F124+F160+F191+F214+F221+F229</f>
        <v>110114.96126920434</v>
      </c>
      <c r="G230" s="303"/>
      <c r="H230" s="304">
        <f>H86+H124+H160+H191+H214+H221+H229</f>
        <v>26324.70319</v>
      </c>
      <c r="I230" s="305"/>
      <c r="J230" s="304">
        <f>J86+J124+J160+J191+J214+J221+J229</f>
        <v>28940.585997066668</v>
      </c>
      <c r="K230" s="305"/>
      <c r="L230" s="306">
        <f>L86+L124+L160+L191+L214+L221+L229</f>
        <v>29684.184104441007</v>
      </c>
      <c r="M230" s="305"/>
      <c r="N230" s="304">
        <f>N86+N124+N160+N191+N214+N221+N229</f>
        <v>25165.490349999996</v>
      </c>
      <c r="O230" s="638"/>
      <c r="P230" s="307"/>
      <c r="Q230" s="308"/>
      <c r="R230" s="309"/>
      <c r="S230" s="310"/>
      <c r="V230" s="616"/>
    </row>
    <row r="231" spans="6:14" ht="12.75">
      <c r="F231" s="243"/>
      <c r="G231" s="244"/>
      <c r="H231" s="245"/>
      <c r="I231" s="246"/>
      <c r="J231" s="246"/>
      <c r="K231" s="246"/>
      <c r="L231" s="246"/>
      <c r="M231" s="246"/>
      <c r="N231" s="246"/>
    </row>
    <row r="232" spans="1:14" ht="12.75">
      <c r="A232" s="247"/>
      <c r="F232" s="243"/>
      <c r="G232" s="244"/>
      <c r="H232" s="245"/>
      <c r="I232" s="246"/>
      <c r="J232" s="248"/>
      <c r="K232" s="246"/>
      <c r="L232" s="248"/>
      <c r="M232" s="246"/>
      <c r="N232" s="248"/>
    </row>
    <row r="233" spans="6:14" ht="12.75">
      <c r="F233" s="243"/>
      <c r="G233" s="244"/>
      <c r="H233" s="244"/>
      <c r="I233" s="244"/>
      <c r="J233" s="249"/>
      <c r="K233" s="250"/>
      <c r="L233" s="243"/>
      <c r="M233" s="243"/>
      <c r="N233" s="243"/>
    </row>
    <row r="234" spans="2:14" ht="15.75">
      <c r="B234" s="670" t="s">
        <v>407</v>
      </c>
      <c r="C234" s="68"/>
      <c r="E234" s="69"/>
      <c r="F234" s="70" t="s">
        <v>151</v>
      </c>
      <c r="G234" s="70"/>
      <c r="I234" s="70"/>
      <c r="J234" s="686" t="s">
        <v>326</v>
      </c>
      <c r="K234" s="70"/>
      <c r="L234" s="251"/>
      <c r="M234" s="251"/>
      <c r="N234" s="251"/>
    </row>
    <row r="235" spans="1:20" s="617" customFormat="1" ht="15.75">
      <c r="A235" s="62"/>
      <c r="B235" s="598"/>
      <c r="C235" s="599"/>
      <c r="D235" s="599"/>
      <c r="E235" s="69"/>
      <c r="F235" s="70" t="s">
        <v>152</v>
      </c>
      <c r="G235" s="70"/>
      <c r="H235" s="62"/>
      <c r="I235" s="70"/>
      <c r="J235" s="70" t="s">
        <v>315</v>
      </c>
      <c r="K235" s="70"/>
      <c r="L235" s="70"/>
      <c r="M235" s="62"/>
      <c r="N235" s="62"/>
      <c r="O235" s="62"/>
      <c r="P235" s="62"/>
      <c r="Q235" s="62"/>
      <c r="R235" s="62"/>
      <c r="S235" s="62"/>
      <c r="T235" s="62"/>
    </row>
    <row r="236" spans="1:20" s="617" customFormat="1" ht="16.5" customHeight="1">
      <c r="A236" s="987"/>
      <c r="B236" s="987"/>
      <c r="C236" s="987"/>
      <c r="D236" s="987"/>
      <c r="E236" s="600"/>
      <c r="F236" s="599"/>
      <c r="G236" s="599"/>
      <c r="H236" s="601"/>
      <c r="I236" s="69"/>
      <c r="J236" s="597"/>
      <c r="K236" s="62"/>
      <c r="L236" s="62"/>
      <c r="M236" s="62"/>
      <c r="N236" s="62"/>
      <c r="O236" s="62"/>
      <c r="P236" s="62"/>
      <c r="Q236" s="62"/>
      <c r="R236" s="62"/>
      <c r="S236" s="62"/>
      <c r="T236" s="62"/>
    </row>
    <row r="237" spans="1:20" s="617" customFormat="1" ht="15" hidden="1">
      <c r="A237" s="600"/>
      <c r="B237" s="670" t="s">
        <v>203</v>
      </c>
      <c r="C237" s="599"/>
      <c r="D237" s="599"/>
      <c r="E237" s="599"/>
      <c r="F237" s="70" t="s">
        <v>151</v>
      </c>
      <c r="G237" s="599"/>
      <c r="H237" s="599"/>
      <c r="I237" s="685"/>
      <c r="J237" s="686" t="s">
        <v>204</v>
      </c>
      <c r="K237" s="62"/>
      <c r="L237" s="62"/>
      <c r="M237" s="62"/>
      <c r="N237" s="62"/>
      <c r="O237" s="62"/>
      <c r="P237" s="62"/>
      <c r="Q237" s="62"/>
      <c r="R237" s="62"/>
      <c r="S237" s="62"/>
      <c r="T237" s="62"/>
    </row>
    <row r="238" spans="1:20" s="617" customFormat="1" ht="15" hidden="1">
      <c r="A238" s="62"/>
      <c r="B238" s="600"/>
      <c r="C238" s="599"/>
      <c r="D238" s="599"/>
      <c r="E238" s="599"/>
      <c r="F238" s="70" t="s">
        <v>152</v>
      </c>
      <c r="G238" s="599"/>
      <c r="H238" s="599"/>
      <c r="I238" s="69"/>
      <c r="J238" s="70" t="s">
        <v>315</v>
      </c>
      <c r="K238" s="62"/>
      <c r="L238" s="62"/>
      <c r="M238" s="62"/>
      <c r="N238" s="62"/>
      <c r="O238" s="62"/>
      <c r="P238" s="62"/>
      <c r="Q238" s="62"/>
      <c r="R238" s="62"/>
      <c r="S238" s="62"/>
      <c r="T238" s="62"/>
    </row>
    <row r="239" spans="1:20" s="617" customFormat="1" ht="15" hidden="1">
      <c r="A239" s="599"/>
      <c r="B239" s="1025" t="s">
        <v>277</v>
      </c>
      <c r="C239" s="1025"/>
      <c r="D239" s="1025"/>
      <c r="E239" s="1025"/>
      <c r="F239" s="599"/>
      <c r="G239" s="599"/>
      <c r="H239" s="599"/>
      <c r="I239" s="69"/>
      <c r="J239" s="597"/>
      <c r="K239" s="62"/>
      <c r="L239" s="62"/>
      <c r="M239" s="62"/>
      <c r="N239" s="62"/>
      <c r="O239" s="62"/>
      <c r="P239" s="62"/>
      <c r="Q239" s="62"/>
      <c r="R239" s="62"/>
      <c r="S239" s="62"/>
      <c r="T239" s="62"/>
    </row>
    <row r="240" spans="1:20" s="617" customFormat="1" ht="15" hidden="1">
      <c r="A240" s="69"/>
      <c r="B240" s="607" t="s">
        <v>316</v>
      </c>
      <c r="C240" s="69"/>
      <c r="D240" s="69"/>
      <c r="E240" s="69"/>
      <c r="F240" s="69"/>
      <c r="G240" s="69"/>
      <c r="H240" s="69"/>
      <c r="I240" s="69"/>
      <c r="J240" s="67"/>
      <c r="K240" s="62"/>
      <c r="L240" s="62"/>
      <c r="M240" s="62"/>
      <c r="N240" s="62"/>
      <c r="O240" s="62"/>
      <c r="P240" s="62"/>
      <c r="Q240" s="62"/>
      <c r="R240" s="62"/>
      <c r="S240" s="62"/>
      <c r="T240" s="62"/>
    </row>
    <row r="241" ht="12.75" hidden="1">
      <c r="J241" s="81"/>
    </row>
    <row r="247" ht="12.75">
      <c r="B247" s="76" t="s">
        <v>582</v>
      </c>
    </row>
  </sheetData>
  <sheetProtection insertRows="0" deleteRows="0"/>
  <mergeCells count="65">
    <mergeCell ref="Q186:Q189"/>
    <mergeCell ref="Q35:Q44"/>
    <mergeCell ref="B239:E239"/>
    <mergeCell ref="Q129:Q133"/>
    <mergeCell ref="Q143:Q149"/>
    <mergeCell ref="Q209:Q212"/>
    <mergeCell ref="Q78:Q82"/>
    <mergeCell ref="Q117:Q118"/>
    <mergeCell ref="Q119:Q122"/>
    <mergeCell ref="Q72:Q77"/>
    <mergeCell ref="Q169:Q182"/>
    <mergeCell ref="V108:AC108"/>
    <mergeCell ref="Q164:Q166"/>
    <mergeCell ref="Q153:Q158"/>
    <mergeCell ref="R109:R110"/>
    <mergeCell ref="R117:R118"/>
    <mergeCell ref="K10:K11"/>
    <mergeCell ref="E9:E11"/>
    <mergeCell ref="Q8:Q10"/>
    <mergeCell ref="L10:L11"/>
    <mergeCell ref="K9:L9"/>
    <mergeCell ref="O8:O10"/>
    <mergeCell ref="G8:N8"/>
    <mergeCell ref="I9:J9"/>
    <mergeCell ref="P8:P10"/>
    <mergeCell ref="M9:N9"/>
    <mergeCell ref="A7:S7"/>
    <mergeCell ref="G9:H9"/>
    <mergeCell ref="G10:G11"/>
    <mergeCell ref="B8:B11"/>
    <mergeCell ref="S8:S10"/>
    <mergeCell ref="R8:R10"/>
    <mergeCell ref="I10:I11"/>
    <mergeCell ref="J10:J11"/>
    <mergeCell ref="E8:F8"/>
    <mergeCell ref="C8:C11"/>
    <mergeCell ref="A236:D236"/>
    <mergeCell ref="A230:D230"/>
    <mergeCell ref="H10:H11"/>
    <mergeCell ref="F9:F11"/>
    <mergeCell ref="D8:D11"/>
    <mergeCell ref="A8:A11"/>
    <mergeCell ref="M10:M11"/>
    <mergeCell ref="N10:N11"/>
    <mergeCell ref="Q137:Q141"/>
    <mergeCell ref="Q109:Q110"/>
    <mergeCell ref="Q100:Q101"/>
    <mergeCell ref="Q105:Q106"/>
    <mergeCell ref="Q56:Q58"/>
    <mergeCell ref="Q62:Q63"/>
    <mergeCell ref="R35:R36"/>
    <mergeCell ref="R42:R44"/>
    <mergeCell ref="R62:R63"/>
    <mergeCell ref="R154:R157"/>
    <mergeCell ref="R143:R149"/>
    <mergeCell ref="Q224:Q228"/>
    <mergeCell ref="R195:R196"/>
    <mergeCell ref="R216:R217"/>
    <mergeCell ref="Q195:Q202"/>
    <mergeCell ref="Q216:Q220"/>
    <mergeCell ref="R56:R58"/>
    <mergeCell ref="R129:R133"/>
    <mergeCell ref="R137:R138"/>
    <mergeCell ref="R105:R106"/>
    <mergeCell ref="R72:R77"/>
  </mergeCells>
  <conditionalFormatting sqref="F224:F228 L223:L228 F208:F212 F205:G205 H153:H157 F135 F70 F103:F106 F108:F110 F126:F133 F137:F141 F143:F149 F152:F158 F99:F101 F162:F166 F168:F182 F88:F97 F114:F122 D57:D58 F52:F54 F56:F58 F186:F189 F193:F202 J198:J202 F216:F220 H216:H220">
    <cfRule type="cellIs" priority="38" dxfId="1" operator="lessThanOrEqual" stopIfTrue="1">
      <formula>0</formula>
    </cfRule>
  </conditionalFormatting>
  <conditionalFormatting sqref="M223:N228 H208:H212 G193:I202 N208:N212 J208:J212 L208:L212 N114:N122 H158 I156:I158 M156:M158 J155:L158 N155:N158 G152:N152 J153:N154 N143:N149 H143:H149 G135:N135 N137:N141 H114:H119 N126:N133 M126:M130 L137:L141 H103:N106 G103 G108:N108 H109:N110 J72:N84 G70:N70 M88:N98 G88:K98 M115:M122 I115:I122 K115:K122 L114:L122 J114:J122 G99:N101 K19 I71:N71 G126:L128 G130:L133 G129:J129 G153:G158 G168:N182 K193:N202 J193:J197 J137:J141 J143:L149 L129:L133 G26:K26 G25:L25 M25:N26 I216:N220 G52:N58 I72:I75 G162:N166 G71:H84 G216:G220 G14:N17 G20:N23 G19 M19 I19 G137:H141 G223:K228">
    <cfRule type="cellIs" priority="39" dxfId="0" operator="lessThanOrEqual" stopIfTrue="1">
      <formula>0</formula>
    </cfRule>
  </conditionalFormatting>
  <printOptions/>
  <pageMargins left="0.5118110236220472" right="0.39" top="0.2" bottom="0.2" header="0.2" footer="0.2"/>
  <pageSetup fitToHeight="0" fitToWidth="1" horizontalDpi="600" verticalDpi="600" orientation="landscape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R34"/>
  <sheetViews>
    <sheetView showZeros="0" zoomScale="75" zoomScaleNormal="75" zoomScalePageLayoutView="0" workbookViewId="0" topLeftCell="A1">
      <selection activeCell="I42" sqref="I42"/>
    </sheetView>
  </sheetViews>
  <sheetFormatPr defaultColWidth="9.00390625" defaultRowHeight="12.75"/>
  <cols>
    <col min="1" max="1" width="5.25390625" style="10" customWidth="1"/>
    <col min="2" max="2" width="12.375" style="10" customWidth="1"/>
    <col min="3" max="3" width="23.25390625" style="10" customWidth="1"/>
    <col min="4" max="5" width="13.125" style="10" customWidth="1"/>
    <col min="6" max="6" width="11.25390625" style="10" customWidth="1"/>
    <col min="7" max="7" width="9.625" style="10" customWidth="1"/>
    <col min="8" max="8" width="11.875" style="10" customWidth="1"/>
    <col min="9" max="9" width="9.00390625" style="10" customWidth="1"/>
    <col min="10" max="10" width="11.375" style="10" customWidth="1"/>
    <col min="11" max="11" width="11.625" style="10" customWidth="1"/>
    <col min="12" max="12" width="11.25390625" style="10" customWidth="1"/>
    <col min="13" max="13" width="12.125" style="10" customWidth="1"/>
    <col min="14" max="14" width="12.375" style="10" customWidth="1"/>
    <col min="15" max="15" width="15.75390625" style="10" customWidth="1"/>
    <col min="16" max="16" width="9.875" style="10" customWidth="1"/>
    <col min="17" max="16384" width="9.125" style="10" customWidth="1"/>
  </cols>
  <sheetData>
    <row r="1" spans="1:16" s="12" customFormat="1" ht="23.25" customHeight="1">
      <c r="A1" s="854" t="s">
        <v>191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6"/>
    </row>
    <row r="2" spans="1:16" s="12" customFormat="1" ht="15" customHeight="1">
      <c r="A2" s="857" t="s">
        <v>236</v>
      </c>
      <c r="B2" s="858" t="s">
        <v>251</v>
      </c>
      <c r="C2" s="859"/>
      <c r="D2" s="912" t="s">
        <v>539</v>
      </c>
      <c r="E2" s="912"/>
      <c r="F2" s="857" t="s">
        <v>238</v>
      </c>
      <c r="G2" s="857"/>
      <c r="H2" s="857"/>
      <c r="I2" s="857"/>
      <c r="J2" s="857"/>
      <c r="K2" s="857"/>
      <c r="L2" s="857"/>
      <c r="M2" s="857"/>
      <c r="N2" s="857"/>
      <c r="O2" s="913" t="s">
        <v>601</v>
      </c>
      <c r="P2" s="913" t="s">
        <v>587</v>
      </c>
    </row>
    <row r="3" spans="1:16" s="12" customFormat="1" ht="27" customHeight="1">
      <c r="A3" s="857"/>
      <c r="B3" s="860"/>
      <c r="C3" s="861"/>
      <c r="D3" s="912"/>
      <c r="E3" s="912"/>
      <c r="F3" s="916">
        <v>2012</v>
      </c>
      <c r="G3" s="917"/>
      <c r="H3" s="917"/>
      <c r="I3" s="917"/>
      <c r="J3" s="917"/>
      <c r="K3" s="25">
        <v>2013</v>
      </c>
      <c r="L3" s="25">
        <v>2014</v>
      </c>
      <c r="M3" s="25">
        <v>2015</v>
      </c>
      <c r="N3" s="25">
        <v>2016</v>
      </c>
      <c r="O3" s="914"/>
      <c r="P3" s="914"/>
    </row>
    <row r="4" spans="1:16" s="12" customFormat="1" ht="14.25" customHeight="1">
      <c r="A4" s="857"/>
      <c r="B4" s="860"/>
      <c r="C4" s="861"/>
      <c r="D4" s="857" t="s">
        <v>745</v>
      </c>
      <c r="E4" s="857" t="s">
        <v>239</v>
      </c>
      <c r="F4" s="858" t="s">
        <v>252</v>
      </c>
      <c r="G4" s="859"/>
      <c r="H4" s="857" t="s">
        <v>275</v>
      </c>
      <c r="I4" s="857"/>
      <c r="J4" s="857"/>
      <c r="K4" s="857" t="s">
        <v>745</v>
      </c>
      <c r="L4" s="857" t="s">
        <v>745</v>
      </c>
      <c r="M4" s="857" t="s">
        <v>745</v>
      </c>
      <c r="N4" s="857" t="s">
        <v>745</v>
      </c>
      <c r="O4" s="914"/>
      <c r="P4" s="914"/>
    </row>
    <row r="5" spans="1:16" s="12" customFormat="1" ht="21.75" customHeight="1">
      <c r="A5" s="857"/>
      <c r="B5" s="860"/>
      <c r="C5" s="861"/>
      <c r="D5" s="857"/>
      <c r="E5" s="857"/>
      <c r="F5" s="910"/>
      <c r="G5" s="911"/>
      <c r="H5" s="919" t="s">
        <v>274</v>
      </c>
      <c r="I5" s="920"/>
      <c r="J5" s="857" t="s">
        <v>276</v>
      </c>
      <c r="K5" s="857"/>
      <c r="L5" s="857"/>
      <c r="M5" s="857"/>
      <c r="N5" s="857"/>
      <c r="O5" s="915"/>
      <c r="P5" s="914"/>
    </row>
    <row r="6" spans="1:16" s="12" customFormat="1" ht="25.5" customHeight="1">
      <c r="A6" s="857"/>
      <c r="B6" s="910"/>
      <c r="C6" s="911"/>
      <c r="D6" s="857"/>
      <c r="E6" s="857"/>
      <c r="F6" s="475" t="s">
        <v>745</v>
      </c>
      <c r="G6" s="475" t="s">
        <v>239</v>
      </c>
      <c r="H6" s="475" t="s">
        <v>599</v>
      </c>
      <c r="I6" s="475" t="s">
        <v>239</v>
      </c>
      <c r="J6" s="857"/>
      <c r="K6" s="857"/>
      <c r="L6" s="857"/>
      <c r="M6" s="857"/>
      <c r="N6" s="857"/>
      <c r="O6" s="24" t="s">
        <v>600</v>
      </c>
      <c r="P6" s="915"/>
    </row>
    <row r="7" spans="1:16" s="12" customFormat="1" ht="12" customHeight="1">
      <c r="A7" s="513">
        <v>1</v>
      </c>
      <c r="B7" s="930">
        <v>2</v>
      </c>
      <c r="C7" s="931"/>
      <c r="D7" s="513">
        <v>3</v>
      </c>
      <c r="E7" s="513">
        <v>4</v>
      </c>
      <c r="F7" s="513">
        <v>5</v>
      </c>
      <c r="G7" s="513">
        <v>6</v>
      </c>
      <c r="H7" s="513">
        <v>7</v>
      </c>
      <c r="I7" s="513">
        <v>8</v>
      </c>
      <c r="J7" s="513">
        <v>9</v>
      </c>
      <c r="K7" s="513">
        <v>10</v>
      </c>
      <c r="L7" s="513">
        <v>11</v>
      </c>
      <c r="M7" s="513">
        <v>12</v>
      </c>
      <c r="N7" s="513">
        <v>13</v>
      </c>
      <c r="O7" s="513">
        <v>14</v>
      </c>
      <c r="P7" s="513">
        <v>15</v>
      </c>
    </row>
    <row r="8" spans="1:16" ht="34.5" customHeight="1">
      <c r="A8" s="13" t="s">
        <v>258</v>
      </c>
      <c r="B8" s="932" t="s">
        <v>657</v>
      </c>
      <c r="C8" s="933"/>
      <c r="D8" s="17">
        <f>SUM(D9,D15,D21,D25,D29)</f>
        <v>486343.204666555</v>
      </c>
      <c r="E8" s="592">
        <f>IF(D34=0,0,D8/D34)</f>
        <v>0.9526728005740343</v>
      </c>
      <c r="F8" s="17">
        <f>SUM(F9,F15,F21,F25,F29)</f>
        <v>72676.40080420434</v>
      </c>
      <c r="G8" s="16">
        <f>IF(F34=0,0,F8/F34)</f>
        <v>0.9526728007478689</v>
      </c>
      <c r="H8" s="17">
        <f>SUM(H9,H15,H21,H25,H29)</f>
        <v>0.433</v>
      </c>
      <c r="I8" s="21"/>
      <c r="J8" s="21"/>
      <c r="K8" s="17">
        <f>SUM(K9,K15,K21,K25,K29)</f>
        <v>87211.67616504521</v>
      </c>
      <c r="L8" s="17">
        <f>SUM(L9,L15,L21,L25,L29)</f>
        <v>100293.43108980198</v>
      </c>
      <c r="M8" s="514">
        <f>SUM(M9,M15,M21,M25,M29)</f>
        <v>110322.78119878218</v>
      </c>
      <c r="N8" s="514">
        <f>SUM(N9,N15,N21,N25,N29)</f>
        <v>115838.9154087213</v>
      </c>
      <c r="O8" s="466"/>
      <c r="P8" s="466"/>
    </row>
    <row r="9" spans="1:16" ht="25.5" customHeight="1">
      <c r="A9" s="918" t="s">
        <v>610</v>
      </c>
      <c r="B9" s="918" t="s">
        <v>706</v>
      </c>
      <c r="C9" s="918"/>
      <c r="D9" s="17">
        <f>SUM(D10:D14)</f>
        <v>9146.5462</v>
      </c>
      <c r="E9" s="592">
        <f>IF(D34=0,0,D9/D34)</f>
        <v>0.017916701005225365</v>
      </c>
      <c r="F9" s="17">
        <f>SUM(F10:F14)</f>
        <v>897.16</v>
      </c>
      <c r="G9" s="16">
        <f>IF(F34=0,0,F9/F34)</f>
        <v>0.011760350271356771</v>
      </c>
      <c r="H9" s="17">
        <f>SUM(H10:H14)</f>
        <v>0</v>
      </c>
      <c r="I9" s="6"/>
      <c r="J9" s="6"/>
      <c r="K9" s="17">
        <f>SUM(K10:K14)</f>
        <v>1345.74</v>
      </c>
      <c r="L9" s="17">
        <f>SUM(L10:L14)</f>
        <v>2018.6100000000001</v>
      </c>
      <c r="M9" s="17">
        <f>SUM(M10:M14)</f>
        <v>2220.4710000000005</v>
      </c>
      <c r="N9" s="17">
        <f>SUM(N10:N14)</f>
        <v>2664.5652000000005</v>
      </c>
      <c r="O9" s="466" t="s">
        <v>205</v>
      </c>
      <c r="P9" s="466"/>
    </row>
    <row r="10" spans="1:16" ht="13.5" customHeight="1">
      <c r="A10" s="918"/>
      <c r="B10" s="475" t="s">
        <v>659</v>
      </c>
      <c r="C10" s="13" t="s">
        <v>311</v>
      </c>
      <c r="D10" s="17">
        <f>SUM(F10,K10:N10)</f>
        <v>0</v>
      </c>
      <c r="E10" s="592">
        <f>IF(D34=0,0,D10/D34)</f>
        <v>0</v>
      </c>
      <c r="F10" s="18"/>
      <c r="G10" s="16">
        <f>IF(F34=0,0,F10/F34)</f>
        <v>0</v>
      </c>
      <c r="H10" s="18"/>
      <c r="I10" s="6"/>
      <c r="J10" s="6"/>
      <c r="K10" s="18">
        <f>F10*1.5</f>
        <v>0</v>
      </c>
      <c r="L10" s="18">
        <f aca="true" t="shared" si="0" ref="L10:N12">K10*1.5</f>
        <v>0</v>
      </c>
      <c r="M10" s="18">
        <f t="shared" si="0"/>
        <v>0</v>
      </c>
      <c r="N10" s="18">
        <f t="shared" si="0"/>
        <v>0</v>
      </c>
      <c r="O10" s="466"/>
      <c r="P10" s="466"/>
    </row>
    <row r="11" spans="1:16" ht="13.5" customHeight="1">
      <c r="A11" s="918"/>
      <c r="B11" s="475" t="s">
        <v>660</v>
      </c>
      <c r="C11" s="13" t="s">
        <v>598</v>
      </c>
      <c r="D11" s="17">
        <f>SUM(F11,K11:N11)</f>
        <v>9146.5462</v>
      </c>
      <c r="E11" s="592">
        <f>IF(D34=0,0,D11/D34)</f>
        <v>0.017916701005225365</v>
      </c>
      <c r="F11" s="18">
        <f>'6. Пров закупівлі'!F18</f>
        <v>897.16</v>
      </c>
      <c r="G11" s="16">
        <f>IF(F34=0,0,F11/F34)</f>
        <v>0.011760350271356771</v>
      </c>
      <c r="H11" s="18"/>
      <c r="I11" s="6"/>
      <c r="J11" s="6"/>
      <c r="K11" s="18">
        <f>F11*1.5</f>
        <v>1345.74</v>
      </c>
      <c r="L11" s="18">
        <f t="shared" si="0"/>
        <v>2018.6100000000001</v>
      </c>
      <c r="M11" s="18">
        <f>L11*1.1</f>
        <v>2220.4710000000005</v>
      </c>
      <c r="N11" s="18">
        <f>M11*1.2</f>
        <v>2664.5652000000005</v>
      </c>
      <c r="O11" s="466"/>
      <c r="P11" s="466"/>
    </row>
    <row r="12" spans="1:16" ht="13.5" customHeight="1">
      <c r="A12" s="918"/>
      <c r="B12" s="475" t="s">
        <v>661</v>
      </c>
      <c r="C12" s="13" t="s">
        <v>144</v>
      </c>
      <c r="D12" s="17">
        <f>SUM(F12,K12:N12)</f>
        <v>0</v>
      </c>
      <c r="E12" s="592">
        <f>IF(D34=0,0,D12/D34)</f>
        <v>0</v>
      </c>
      <c r="F12" s="18"/>
      <c r="G12" s="16">
        <f>IF(F34=0,0,F12/F34)</f>
        <v>0</v>
      </c>
      <c r="H12" s="18"/>
      <c r="I12" s="6"/>
      <c r="J12" s="6"/>
      <c r="K12" s="18">
        <f>F12*1.5</f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  <c r="O12" s="466"/>
      <c r="P12" s="466"/>
    </row>
    <row r="13" spans="1:16" ht="13.5" customHeight="1">
      <c r="A13" s="918"/>
      <c r="B13" s="475" t="s">
        <v>723</v>
      </c>
      <c r="C13" s="13" t="s">
        <v>658</v>
      </c>
      <c r="D13" s="17">
        <f>SUM(F13,K13:N13)</f>
        <v>0</v>
      </c>
      <c r="E13" s="592">
        <f>IF(D34=0,0,D13/D34)</f>
        <v>0</v>
      </c>
      <c r="F13" s="18"/>
      <c r="G13" s="16">
        <f>IF(F34=0,0,F13/F34)</f>
        <v>0</v>
      </c>
      <c r="H13" s="18"/>
      <c r="I13" s="6"/>
      <c r="J13" s="6"/>
      <c r="K13" s="18">
        <f>F13*1.5</f>
        <v>0</v>
      </c>
      <c r="L13" s="18">
        <f aca="true" t="shared" si="1" ref="L13:N14">K13*1.5</f>
        <v>0</v>
      </c>
      <c r="M13" s="18">
        <f t="shared" si="1"/>
        <v>0</v>
      </c>
      <c r="N13" s="18">
        <f t="shared" si="1"/>
        <v>0</v>
      </c>
      <c r="O13" s="466"/>
      <c r="P13" s="466"/>
    </row>
    <row r="14" spans="1:16" ht="26.25" customHeight="1">
      <c r="A14" s="918"/>
      <c r="B14" s="475" t="s">
        <v>145</v>
      </c>
      <c r="C14" s="475" t="s">
        <v>724</v>
      </c>
      <c r="D14" s="17">
        <f>SUM(F14,K14:N14)</f>
        <v>0</v>
      </c>
      <c r="E14" s="16">
        <f>IF(D34=0,0,D14/D34)</f>
        <v>0</v>
      </c>
      <c r="F14" s="18"/>
      <c r="G14" s="16">
        <f>IF(F34=0,0,F14/F34)</f>
        <v>0</v>
      </c>
      <c r="H14" s="18"/>
      <c r="I14" s="6"/>
      <c r="J14" s="6"/>
      <c r="K14" s="18">
        <f>F14*1.5</f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466"/>
      <c r="P14" s="466"/>
    </row>
    <row r="15" spans="1:16" ht="25.5" customHeight="1">
      <c r="A15" s="918" t="s">
        <v>611</v>
      </c>
      <c r="B15" s="918" t="s">
        <v>730</v>
      </c>
      <c r="C15" s="918"/>
      <c r="D15" s="17">
        <f>SUM(D16:D19)</f>
        <v>202492.188284055</v>
      </c>
      <c r="E15" s="16">
        <f>IF(D34=0,0,D15/D34)</f>
        <v>0.39665157908230014</v>
      </c>
      <c r="F15" s="17">
        <f>SUM(F16:F19)</f>
        <v>30259.29680420434</v>
      </c>
      <c r="G15" s="16">
        <f>IF(F34=0,0,F15/F34)</f>
        <v>0.3966515776253841</v>
      </c>
      <c r="H15" s="17">
        <f>SUM(H16:H19)</f>
        <v>0</v>
      </c>
      <c r="I15" s="21"/>
      <c r="J15" s="21"/>
      <c r="K15" s="17">
        <f>SUM(K16:K19)</f>
        <v>36311.156165045206</v>
      </c>
      <c r="L15" s="17">
        <f>SUM(L16:L19)</f>
        <v>41757.829589801986</v>
      </c>
      <c r="M15" s="17">
        <f>SUM(M16:M19)</f>
        <v>45933.612548782185</v>
      </c>
      <c r="N15" s="17">
        <f>SUM(N16:N19)</f>
        <v>48230.2931762213</v>
      </c>
      <c r="O15" s="466" t="s">
        <v>496</v>
      </c>
      <c r="P15" s="466"/>
    </row>
    <row r="16" spans="1:16" ht="12.75">
      <c r="A16" s="918"/>
      <c r="B16" s="13" t="s">
        <v>725</v>
      </c>
      <c r="C16" s="13" t="s">
        <v>311</v>
      </c>
      <c r="D16" s="17">
        <f>SUM(F16,K16:N16)</f>
        <v>34565.32309119999</v>
      </c>
      <c r="E16" s="16">
        <f>IF(D34=0,0,D16/D34)</f>
        <v>0.06770824149710657</v>
      </c>
      <c r="F16" s="18">
        <f>'6. Пров закупівлі'!F24</f>
        <v>5165.248</v>
      </c>
      <c r="G16" s="16">
        <f>IF(F34=0,0,F16/F34)</f>
        <v>0.06770824124841167</v>
      </c>
      <c r="H16" s="18"/>
      <c r="I16" s="6"/>
      <c r="J16" s="6"/>
      <c r="K16" s="18">
        <f>F16*1.2</f>
        <v>6198.297599999999</v>
      </c>
      <c r="L16" s="18">
        <f>K16*1.15</f>
        <v>7128.042239999998</v>
      </c>
      <c r="M16" s="18">
        <f>L16*1.1</f>
        <v>7840.846463999998</v>
      </c>
      <c r="N16" s="18">
        <f>M16*1.05</f>
        <v>8232.888787199998</v>
      </c>
      <c r="O16" s="593"/>
      <c r="P16" s="466"/>
    </row>
    <row r="17" spans="1:16" ht="23.25" customHeight="1">
      <c r="A17" s="918"/>
      <c r="B17" s="13" t="s">
        <v>726</v>
      </c>
      <c r="C17" s="13" t="s">
        <v>598</v>
      </c>
      <c r="D17" s="17">
        <f>SUM(F17,K17:N17)</f>
        <v>27733.709602999996</v>
      </c>
      <c r="E17" s="16">
        <f>IF(D34=0,0,D17/D34)</f>
        <v>0.054326143645641714</v>
      </c>
      <c r="F17" s="18">
        <f>'6. Пров закупівлі'!F27</f>
        <v>4144.37</v>
      </c>
      <c r="G17" s="16">
        <f>IF(F34=0,0,F17/F34)</f>
        <v>0.05432614344609976</v>
      </c>
      <c r="H17" s="18"/>
      <c r="I17" s="6"/>
      <c r="J17" s="6"/>
      <c r="K17" s="18">
        <f>F17*1.2</f>
        <v>4973.244</v>
      </c>
      <c r="L17" s="18">
        <f>K17*1.15</f>
        <v>5719.230599999999</v>
      </c>
      <c r="M17" s="18">
        <f>L17*1.1</f>
        <v>6291.153659999999</v>
      </c>
      <c r="N17" s="18">
        <f>M17*1.05</f>
        <v>6605.711342999999</v>
      </c>
      <c r="O17" s="593"/>
      <c r="P17" s="466"/>
    </row>
    <row r="18" spans="1:16" ht="25.5" customHeight="1">
      <c r="A18" s="918"/>
      <c r="B18" s="13" t="s">
        <v>727</v>
      </c>
      <c r="C18" s="13" t="s">
        <v>144</v>
      </c>
      <c r="D18" s="17">
        <f>SUM(F18,K18:N18)</f>
        <v>15826.13738948</v>
      </c>
      <c r="E18" s="16">
        <f>IF(D34=0,0,D18/D34)</f>
        <v>0.0310010101599805</v>
      </c>
      <c r="F18" s="18">
        <f>'6. Пров закупівлі'!F32</f>
        <v>2364.9692</v>
      </c>
      <c r="G18" s="16">
        <f>IF(F34=0,0,F18/F34)</f>
        <v>0.03100101004611263</v>
      </c>
      <c r="H18" s="18"/>
      <c r="I18" s="6"/>
      <c r="J18" s="6"/>
      <c r="K18" s="18">
        <f>F18*1.2</f>
        <v>2837.96304</v>
      </c>
      <c r="L18" s="18">
        <f>K18*1.15</f>
        <v>3263.657496</v>
      </c>
      <c r="M18" s="18">
        <f>L18*1.1</f>
        <v>3590.0232456</v>
      </c>
      <c r="N18" s="18">
        <f>M18*1.05</f>
        <v>3769.52440788</v>
      </c>
      <c r="O18" s="593"/>
      <c r="P18" s="466"/>
    </row>
    <row r="19" spans="1:16" ht="14.25" customHeight="1">
      <c r="A19" s="918"/>
      <c r="B19" s="475" t="s">
        <v>728</v>
      </c>
      <c r="C19" s="13" t="s">
        <v>658</v>
      </c>
      <c r="D19" s="17">
        <f>SUM(F19,K19:N19)</f>
        <v>124367.01820037502</v>
      </c>
      <c r="E19" s="16">
        <f>IF(D34=0,0,D19/D34)</f>
        <v>0.2436161837795714</v>
      </c>
      <c r="F19" s="18">
        <f>'6. Пров закупівлі'!F45</f>
        <v>18584.70960420434</v>
      </c>
      <c r="G19" s="16">
        <f>IF(F34=0,0,F19/F34)</f>
        <v>0.24361618288476003</v>
      </c>
      <c r="H19" s="18"/>
      <c r="I19" s="6"/>
      <c r="J19" s="6"/>
      <c r="K19" s="18">
        <f>F19*1.2</f>
        <v>22301.65152504521</v>
      </c>
      <c r="L19" s="18">
        <f>K19*1.15</f>
        <v>25646.89925380199</v>
      </c>
      <c r="M19" s="18">
        <f>L19*1.1</f>
        <v>28211.58917918219</v>
      </c>
      <c r="N19" s="18">
        <f>M19*1.05</f>
        <v>29622.1686381413</v>
      </c>
      <c r="O19" s="921"/>
      <c r="P19" s="466"/>
    </row>
    <row r="20" spans="1:16" ht="26.25" customHeight="1">
      <c r="A20" s="918"/>
      <c r="B20" s="475" t="s">
        <v>146</v>
      </c>
      <c r="C20" s="475" t="s">
        <v>724</v>
      </c>
      <c r="D20" s="17">
        <f>SUM(F20,K20:N20)</f>
        <v>124367.01820037502</v>
      </c>
      <c r="E20" s="16">
        <f>IF(D34=0,0,D20/D34)</f>
        <v>0.2436161837795714</v>
      </c>
      <c r="F20" s="18">
        <f>'6. Пров закупівлі'!F45</f>
        <v>18584.70960420434</v>
      </c>
      <c r="G20" s="16">
        <f>IF(F34=0,0,F20/F34)</f>
        <v>0.24361618288476003</v>
      </c>
      <c r="H20" s="18"/>
      <c r="I20" s="6"/>
      <c r="J20" s="6"/>
      <c r="K20" s="18">
        <f>K19</f>
        <v>22301.65152504521</v>
      </c>
      <c r="L20" s="18">
        <f>K20*1.15</f>
        <v>25646.89925380199</v>
      </c>
      <c r="M20" s="18">
        <f>L20*1.1</f>
        <v>28211.58917918219</v>
      </c>
      <c r="N20" s="18">
        <f>M20*1.05</f>
        <v>29622.1686381413</v>
      </c>
      <c r="O20" s="922"/>
      <c r="P20" s="466"/>
    </row>
    <row r="21" spans="1:18" s="3" customFormat="1" ht="25.5" customHeight="1">
      <c r="A21" s="923" t="s">
        <v>612</v>
      </c>
      <c r="B21" s="928" t="s">
        <v>731</v>
      </c>
      <c r="C21" s="929"/>
      <c r="D21" s="17">
        <f>SUM(D22:D24)</f>
        <v>6915.6585</v>
      </c>
      <c r="E21" s="16">
        <f>IF(D34=0,0,D21/D34)</f>
        <v>0.013546729321582098</v>
      </c>
      <c r="F21" s="17">
        <f>SUM(F22:F24)</f>
        <v>0</v>
      </c>
      <c r="G21" s="16">
        <f>IF(F34=0,0,F21/F34)</f>
        <v>0</v>
      </c>
      <c r="H21" s="17">
        <f>SUM(H22:H24)</f>
        <v>0</v>
      </c>
      <c r="I21" s="21"/>
      <c r="J21" s="21"/>
      <c r="K21" s="17">
        <f>SUM(K22:K24)</f>
        <v>1458</v>
      </c>
      <c r="L21" s="17">
        <f>SUM(L22:L24)</f>
        <v>1676.6999999999998</v>
      </c>
      <c r="M21" s="17">
        <f>SUM(M22:M24)</f>
        <v>1844.37</v>
      </c>
      <c r="N21" s="17">
        <f>SUM(N22:N24)</f>
        <v>1936.5885</v>
      </c>
      <c r="O21" s="467"/>
      <c r="P21" s="594"/>
      <c r="R21" s="10"/>
    </row>
    <row r="22" spans="1:18" s="3" customFormat="1" ht="12.75">
      <c r="A22" s="924"/>
      <c r="B22" s="13" t="s">
        <v>732</v>
      </c>
      <c r="C22" s="13" t="s">
        <v>311</v>
      </c>
      <c r="D22" s="17">
        <f>SUM(F22,J22:M22)</f>
        <v>0</v>
      </c>
      <c r="E22" s="16">
        <f>IF(D34=0,0,D22/D34)</f>
        <v>0</v>
      </c>
      <c r="F22" s="18"/>
      <c r="G22" s="16">
        <f>IF(F34=0,0,F22/F34)</f>
        <v>0</v>
      </c>
      <c r="H22" s="18"/>
      <c r="I22" s="6"/>
      <c r="J22" s="18"/>
      <c r="K22" s="18">
        <f>F22*1.5</f>
        <v>0</v>
      </c>
      <c r="L22" s="18">
        <f aca="true" t="shared" si="2" ref="L22:N24">K22*1.5</f>
        <v>0</v>
      </c>
      <c r="M22" s="18">
        <f t="shared" si="2"/>
        <v>0</v>
      </c>
      <c r="N22" s="49">
        <f t="shared" si="2"/>
        <v>0</v>
      </c>
      <c r="O22" s="467"/>
      <c r="P22" s="594"/>
      <c r="R22" s="10"/>
    </row>
    <row r="23" spans="1:18" s="3" customFormat="1" ht="12.75">
      <c r="A23" s="924"/>
      <c r="B23" s="13" t="s">
        <v>733</v>
      </c>
      <c r="C23" s="13" t="s">
        <v>598</v>
      </c>
      <c r="D23" s="17">
        <f>SUM(F23,K23:N23)</f>
        <v>6915.6585</v>
      </c>
      <c r="E23" s="16">
        <f>IF(D34=0,0,D23/D34)</f>
        <v>0.013546729321582098</v>
      </c>
      <c r="F23" s="18"/>
      <c r="G23" s="16">
        <f>IF(F34=0,0,F23/F34)</f>
        <v>0</v>
      </c>
      <c r="H23" s="18"/>
      <c r="I23" s="6"/>
      <c r="J23" s="18"/>
      <c r="K23" s="18">
        <v>1458</v>
      </c>
      <c r="L23" s="18">
        <f>K23*1.15</f>
        <v>1676.6999999999998</v>
      </c>
      <c r="M23" s="18">
        <f>L23*1.1</f>
        <v>1844.37</v>
      </c>
      <c r="N23" s="18">
        <f>M23*1.05</f>
        <v>1936.5885</v>
      </c>
      <c r="O23" s="593"/>
      <c r="P23" s="594"/>
      <c r="R23" s="10"/>
    </row>
    <row r="24" spans="1:18" s="3" customFormat="1" ht="17.25" customHeight="1">
      <c r="A24" s="925"/>
      <c r="B24" s="13" t="s">
        <v>734</v>
      </c>
      <c r="C24" s="13" t="s">
        <v>144</v>
      </c>
      <c r="D24" s="17">
        <f>SUM(F24,J24:M24)</f>
        <v>0</v>
      </c>
      <c r="E24" s="16">
        <f>IF(D34=0,0,D24/D34)</f>
        <v>0</v>
      </c>
      <c r="F24" s="18"/>
      <c r="G24" s="16">
        <f>IF(F34=0,0,F24/F34)</f>
        <v>0</v>
      </c>
      <c r="H24" s="18"/>
      <c r="I24" s="6"/>
      <c r="J24" s="18"/>
      <c r="K24" s="18">
        <f>F24*1.5</f>
        <v>0</v>
      </c>
      <c r="L24" s="18">
        <f t="shared" si="2"/>
        <v>0</v>
      </c>
      <c r="M24" s="18">
        <f t="shared" si="2"/>
        <v>0</v>
      </c>
      <c r="N24" s="49">
        <f t="shared" si="2"/>
        <v>0</v>
      </c>
      <c r="O24" s="467"/>
      <c r="P24" s="594"/>
      <c r="R24" s="10"/>
    </row>
    <row r="25" spans="1:18" s="3" customFormat="1" ht="25.5" customHeight="1">
      <c r="A25" s="923" t="s">
        <v>652</v>
      </c>
      <c r="B25" s="926" t="s">
        <v>735</v>
      </c>
      <c r="C25" s="927"/>
      <c r="D25" s="17">
        <f>SUM(D26:D28)</f>
        <v>42711.5976825</v>
      </c>
      <c r="E25" s="16">
        <f>IF(D34=0,0,D25/D34)</f>
        <v>0.08366556166663534</v>
      </c>
      <c r="F25" s="17">
        <f>SUM(F26:F28)</f>
        <v>36.53</v>
      </c>
      <c r="G25" s="16">
        <f>IF(F34=0,0,F25/F34)</f>
        <v>0.00047885059009838033</v>
      </c>
      <c r="H25" s="17">
        <f>SUM(H26:H28)</f>
        <v>0</v>
      </c>
      <c r="I25" s="21"/>
      <c r="J25" s="21"/>
      <c r="K25" s="17">
        <f>SUM(K26:K28)</f>
        <v>8997.01</v>
      </c>
      <c r="L25" s="17">
        <f>SUM(L26:L28)</f>
        <v>10346.5615</v>
      </c>
      <c r="M25" s="17">
        <f>SUM(M26:M28)</f>
        <v>11381.21765</v>
      </c>
      <c r="N25" s="17">
        <f>SUM(N26:N28)</f>
        <v>11950.2785325</v>
      </c>
      <c r="O25" s="467" t="s">
        <v>695</v>
      </c>
      <c r="P25" s="594"/>
      <c r="R25" s="10"/>
    </row>
    <row r="26" spans="1:18" s="3" customFormat="1" ht="12.75">
      <c r="A26" s="924"/>
      <c r="B26" s="20" t="s">
        <v>736</v>
      </c>
      <c r="C26" s="13" t="s">
        <v>311</v>
      </c>
      <c r="D26" s="17">
        <f>SUM(F26,K26:N26)</f>
        <v>9960.825</v>
      </c>
      <c r="E26" s="16">
        <f>IF(D34=0,0,D26/D34)</f>
        <v>0.01951175005166146</v>
      </c>
      <c r="F26" s="18"/>
      <c r="G26" s="16">
        <f>IF(F34=0,0,F26/F34)</f>
        <v>0</v>
      </c>
      <c r="H26" s="18"/>
      <c r="I26" s="6"/>
      <c r="J26" s="18"/>
      <c r="K26" s="18">
        <v>2100</v>
      </c>
      <c r="L26" s="18">
        <f>K26*1.15</f>
        <v>2415</v>
      </c>
      <c r="M26" s="18">
        <f>L26*1.1</f>
        <v>2656.5</v>
      </c>
      <c r="N26" s="18">
        <f>M26*1.05</f>
        <v>2789.3250000000003</v>
      </c>
      <c r="O26" s="593"/>
      <c r="P26" s="594"/>
      <c r="R26" s="10"/>
    </row>
    <row r="27" spans="1:18" s="3" customFormat="1" ht="12.75">
      <c r="A27" s="924"/>
      <c r="B27" s="20" t="s">
        <v>737</v>
      </c>
      <c r="C27" s="13" t="s">
        <v>598</v>
      </c>
      <c r="D27" s="17">
        <f>SUM(F27,K27:N27)</f>
        <v>15452.139932500002</v>
      </c>
      <c r="E27" s="16">
        <f>IF(D34=0,0,D27/D34)</f>
        <v>0.030268405691921806</v>
      </c>
      <c r="F27" s="18">
        <f>'6. Пров закупівлі'!F50</f>
        <v>36.53</v>
      </c>
      <c r="G27" s="16">
        <f>IF(F34=0,0,F27/F34)</f>
        <v>0.00047885059009838033</v>
      </c>
      <c r="H27" s="18"/>
      <c r="I27" s="6"/>
      <c r="J27" s="18"/>
      <c r="K27" s="18">
        <v>3250.01</v>
      </c>
      <c r="L27" s="18">
        <f>K27*1.15</f>
        <v>3737.5115</v>
      </c>
      <c r="M27" s="18">
        <f>L27*1.1</f>
        <v>4111.262650000001</v>
      </c>
      <c r="N27" s="18">
        <f>M27*1.05</f>
        <v>4316.825782500001</v>
      </c>
      <c r="O27" s="593"/>
      <c r="P27" s="594"/>
      <c r="R27" s="10"/>
    </row>
    <row r="28" spans="1:18" s="3" customFormat="1" ht="12.75">
      <c r="A28" s="924"/>
      <c r="B28" s="20" t="s">
        <v>738</v>
      </c>
      <c r="C28" s="13" t="s">
        <v>144</v>
      </c>
      <c r="D28" s="17">
        <f>SUM(F28,K28:N28)</f>
        <v>17298.63275</v>
      </c>
      <c r="E28" s="16">
        <f>IF(D34=0,0,D28/D34)</f>
        <v>0.03388540592305207</v>
      </c>
      <c r="F28" s="18"/>
      <c r="G28" s="16">
        <f>IF(F34=0,0,F28/F34)</f>
        <v>0</v>
      </c>
      <c r="H28" s="18"/>
      <c r="I28" s="6"/>
      <c r="J28" s="18"/>
      <c r="K28" s="18">
        <v>3647</v>
      </c>
      <c r="L28" s="18">
        <f>K28*1.15</f>
        <v>4194.049999999999</v>
      </c>
      <c r="M28" s="18">
        <f>L28*1.1</f>
        <v>4613.455</v>
      </c>
      <c r="N28" s="18">
        <f>M28*1.05</f>
        <v>4844.127750000001</v>
      </c>
      <c r="O28" s="593"/>
      <c r="P28" s="594"/>
      <c r="R28" s="10"/>
    </row>
    <row r="29" spans="1:18" s="3" customFormat="1" ht="27" customHeight="1">
      <c r="A29" s="923" t="s">
        <v>653</v>
      </c>
      <c r="B29" s="918" t="s">
        <v>743</v>
      </c>
      <c r="C29" s="918"/>
      <c r="D29" s="17">
        <f>SUM(D30:D32)</f>
        <v>225077.21399999998</v>
      </c>
      <c r="E29" s="16">
        <f>IF(D34=0,0,D29/D34)</f>
        <v>0.44089222949829127</v>
      </c>
      <c r="F29" s="17">
        <f>SUM(F30:F32)</f>
        <v>41483.414</v>
      </c>
      <c r="G29" s="16">
        <f>IF(F34=0,0,F29/F34)</f>
        <v>0.5437820222610296</v>
      </c>
      <c r="H29" s="17">
        <f>SUM(H30:H32)</f>
        <v>0.433</v>
      </c>
      <c r="I29" s="21"/>
      <c r="J29" s="21"/>
      <c r="K29" s="17">
        <f>SUM(K30:K32)</f>
        <v>39099.77</v>
      </c>
      <c r="L29" s="17">
        <f>SUM(L30:L32)</f>
        <v>44493.73</v>
      </c>
      <c r="M29" s="17">
        <f>SUM(M30:M32)</f>
        <v>48943.11</v>
      </c>
      <c r="N29" s="17">
        <f>SUM(N30:N32)</f>
        <v>51057.19</v>
      </c>
      <c r="O29" s="466" t="s">
        <v>497</v>
      </c>
      <c r="P29" s="594"/>
      <c r="R29" s="10"/>
    </row>
    <row r="30" spans="1:18" s="3" customFormat="1" ht="12.75">
      <c r="A30" s="924"/>
      <c r="B30" s="13" t="s">
        <v>739</v>
      </c>
      <c r="C30" s="13" t="s">
        <v>311</v>
      </c>
      <c r="D30" s="17">
        <f>SUM(F30,K30:N30)</f>
        <v>210989.072</v>
      </c>
      <c r="E30" s="16">
        <f>IF(D34=0,0,D30/D34)</f>
        <v>0.41329568951326856</v>
      </c>
      <c r="F30" s="18">
        <f>'6. Пров закупівлі'!F59</f>
        <v>38395.272</v>
      </c>
      <c r="G30" s="16">
        <f>IF(F34=0,0,F30/F34)</f>
        <v>0.5033013592714979</v>
      </c>
      <c r="H30" s="18">
        <v>0.433</v>
      </c>
      <c r="I30" s="6"/>
      <c r="J30" s="18"/>
      <c r="K30" s="18">
        <v>37099.77</v>
      </c>
      <c r="L30" s="18">
        <v>41993.73</v>
      </c>
      <c r="M30" s="18">
        <v>45943.11</v>
      </c>
      <c r="N30" s="18">
        <v>47557.19</v>
      </c>
      <c r="O30" s="593"/>
      <c r="P30" s="594"/>
      <c r="R30" s="10"/>
    </row>
    <row r="31" spans="1:18" s="3" customFormat="1" ht="12.75">
      <c r="A31" s="924"/>
      <c r="B31" s="13" t="s">
        <v>740</v>
      </c>
      <c r="C31" s="13" t="s">
        <v>598</v>
      </c>
      <c r="D31" s="17">
        <f>SUM(F31,K31:N31)</f>
        <v>14074.742</v>
      </c>
      <c r="E31" s="16">
        <f>IF(D34=0,0,D31/D34)</f>
        <v>0.027570291411165414</v>
      </c>
      <c r="F31" s="18">
        <f>'6. Пров закупівлі'!F64</f>
        <v>3074.7419999999997</v>
      </c>
      <c r="G31" s="16">
        <f>IF(F34=0,0,F31/F34)</f>
        <v>0.04030501015878111</v>
      </c>
      <c r="H31" s="26"/>
      <c r="I31" s="6"/>
      <c r="J31" s="18"/>
      <c r="K31" s="18">
        <v>2000</v>
      </c>
      <c r="L31" s="18">
        <v>2500</v>
      </c>
      <c r="M31" s="18">
        <v>3000</v>
      </c>
      <c r="N31" s="18">
        <v>3500</v>
      </c>
      <c r="O31" s="593"/>
      <c r="P31" s="594"/>
      <c r="R31" s="10"/>
    </row>
    <row r="32" spans="1:18" s="3" customFormat="1" ht="12.75">
      <c r="A32" s="925"/>
      <c r="B32" s="13" t="s">
        <v>741</v>
      </c>
      <c r="C32" s="13" t="s">
        <v>144</v>
      </c>
      <c r="D32" s="17">
        <f>SUM(F32,K32:N32)</f>
        <v>13.4</v>
      </c>
      <c r="E32" s="16">
        <f>IF(D34=0,0,D32/D34)</f>
        <v>2.6248573857312377E-05</v>
      </c>
      <c r="F32" s="18">
        <f>'6. Пров закупівлі'!F67</f>
        <v>13.4</v>
      </c>
      <c r="G32" s="16">
        <f>IF(F34=0,0,F32/F34)</f>
        <v>0.0001756528307505693</v>
      </c>
      <c r="H32" s="26"/>
      <c r="I32" s="6"/>
      <c r="J32" s="18"/>
      <c r="K32" s="18"/>
      <c r="L32" s="18"/>
      <c r="M32" s="18"/>
      <c r="N32" s="18"/>
      <c r="O32" s="593"/>
      <c r="P32" s="594"/>
      <c r="R32" s="10"/>
    </row>
    <row r="33" spans="1:16" ht="45" customHeight="1">
      <c r="A33" s="13" t="s">
        <v>254</v>
      </c>
      <c r="B33" s="918" t="s">
        <v>249</v>
      </c>
      <c r="C33" s="918"/>
      <c r="D33" s="17">
        <f>SUM(F33,K33:N33)</f>
        <v>24160.721102616004</v>
      </c>
      <c r="E33" s="16">
        <f>IF(D34=0,0,D33/D34)</f>
        <v>0.04732719942596582</v>
      </c>
      <c r="F33" s="18">
        <f>'6. Пров закупівлі'!F85</f>
        <v>3610.44264</v>
      </c>
      <c r="G33" s="16">
        <f>IF(F34=0,0,F33/F34)</f>
        <v>0.04732719925213124</v>
      </c>
      <c r="H33" s="18"/>
      <c r="I33" s="6"/>
      <c r="J33" s="6"/>
      <c r="K33" s="18">
        <f>F33*1.2</f>
        <v>4332.531168</v>
      </c>
      <c r="L33" s="18">
        <f>K33*1.15</f>
        <v>4982.4108432</v>
      </c>
      <c r="M33" s="18">
        <f>L33*1.1</f>
        <v>5480.651927520001</v>
      </c>
      <c r="N33" s="18">
        <f>M33*1.05</f>
        <v>5754.684523896001</v>
      </c>
      <c r="O33" s="466" t="s">
        <v>707</v>
      </c>
      <c r="P33" s="466"/>
    </row>
    <row r="34" spans="1:16" ht="13.5" customHeight="1">
      <c r="A34" s="13" t="s">
        <v>742</v>
      </c>
      <c r="B34" s="918" t="s">
        <v>353</v>
      </c>
      <c r="C34" s="918"/>
      <c r="D34" s="17">
        <f>SUM(D8,D33)</f>
        <v>510503.925769171</v>
      </c>
      <c r="E34" s="16"/>
      <c r="F34" s="17">
        <f>SUM(F8,F33)</f>
        <v>76286.84344420434</v>
      </c>
      <c r="G34" s="16"/>
      <c r="H34" s="17">
        <f>SUM(H8,H33)</f>
        <v>0.433</v>
      </c>
      <c r="I34" s="6"/>
      <c r="J34" s="6"/>
      <c r="K34" s="17">
        <f>SUM(K8,K33)</f>
        <v>91544.20733304521</v>
      </c>
      <c r="L34" s="17">
        <f>SUM(L8,L33)</f>
        <v>105275.84193300198</v>
      </c>
      <c r="M34" s="17">
        <f>SUM(M8,M33)</f>
        <v>115803.43312630217</v>
      </c>
      <c r="N34" s="17">
        <f>SUM(N8,N33)</f>
        <v>121593.5999326173</v>
      </c>
      <c r="O34" s="467"/>
      <c r="P34" s="466"/>
    </row>
    <row r="35" s="12" customFormat="1" ht="12.75"/>
  </sheetData>
  <sheetProtection/>
  <mergeCells count="33">
    <mergeCell ref="B21:C21"/>
    <mergeCell ref="K4:K6"/>
    <mergeCell ref="L4:L6"/>
    <mergeCell ref="M4:M6"/>
    <mergeCell ref="B7:C7"/>
    <mergeCell ref="B8:C8"/>
    <mergeCell ref="O19:O20"/>
    <mergeCell ref="A15:A20"/>
    <mergeCell ref="B34:C34"/>
    <mergeCell ref="A21:A24"/>
    <mergeCell ref="B25:C25"/>
    <mergeCell ref="A25:A28"/>
    <mergeCell ref="A29:A32"/>
    <mergeCell ref="B15:C15"/>
    <mergeCell ref="B29:C29"/>
    <mergeCell ref="B33:C33"/>
    <mergeCell ref="A9:A14"/>
    <mergeCell ref="B9:C9"/>
    <mergeCell ref="N4:N6"/>
    <mergeCell ref="H5:I5"/>
    <mergeCell ref="J5:J6"/>
    <mergeCell ref="F4:G5"/>
    <mergeCell ref="H4:J4"/>
    <mergeCell ref="A1:P1"/>
    <mergeCell ref="A2:A6"/>
    <mergeCell ref="B2:C6"/>
    <mergeCell ref="D2:E3"/>
    <mergeCell ref="F2:N2"/>
    <mergeCell ref="O2:O5"/>
    <mergeCell ref="P2:P6"/>
    <mergeCell ref="F3:J3"/>
    <mergeCell ref="D4:D6"/>
    <mergeCell ref="E4:E6"/>
  </mergeCells>
  <printOptions/>
  <pageMargins left="0.2362204724409449" right="0.2362204724409449" top="0.4330708661417323" bottom="0.15748031496062992" header="0.3937007874015748" footer="0.275590551181102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9"/>
  <sheetViews>
    <sheetView zoomScaleSheetLayoutView="100" zoomScalePageLayoutView="0" workbookViewId="0" topLeftCell="A1">
      <selection activeCell="B232" sqref="B232"/>
    </sheetView>
  </sheetViews>
  <sheetFormatPr defaultColWidth="9.00390625" defaultRowHeight="12.75"/>
  <cols>
    <col min="1" max="1" width="8.125" style="405" customWidth="1"/>
    <col min="2" max="2" width="16.25390625" style="405" customWidth="1"/>
    <col min="3" max="3" width="41.00390625" style="405" customWidth="1"/>
    <col min="4" max="4" width="15.125" style="405" customWidth="1"/>
    <col min="5" max="5" width="16.75390625" style="405" customWidth="1"/>
    <col min="6" max="6" width="17.625" style="405" customWidth="1"/>
    <col min="7" max="7" width="20.75390625" style="405" customWidth="1"/>
    <col min="8" max="8" width="17.75390625" style="405" customWidth="1"/>
    <col min="9" max="9" width="16.00390625" style="405" customWidth="1"/>
    <col min="10" max="10" width="9.625" style="405" customWidth="1"/>
    <col min="11" max="16384" width="9.125" style="405" customWidth="1"/>
  </cols>
  <sheetData>
    <row r="1" ht="21" customHeight="1"/>
    <row r="2" spans="1:18" ht="24.75" customHeight="1">
      <c r="A2" s="934" t="s">
        <v>156</v>
      </c>
      <c r="B2" s="934"/>
      <c r="C2" s="935"/>
      <c r="D2" s="935"/>
      <c r="E2" s="935"/>
      <c r="F2" s="935"/>
      <c r="G2" s="935"/>
      <c r="H2" s="935"/>
      <c r="I2" s="935"/>
      <c r="J2" s="935"/>
      <c r="K2" s="406"/>
      <c r="L2" s="406"/>
      <c r="M2" s="406"/>
      <c r="N2" s="406"/>
      <c r="O2" s="406"/>
      <c r="P2" s="406"/>
      <c r="Q2" s="406"/>
      <c r="R2" s="406"/>
    </row>
    <row r="3" spans="1:10" ht="26.25" customHeight="1">
      <c r="A3" s="938" t="s">
        <v>236</v>
      </c>
      <c r="B3" s="938" t="s">
        <v>157</v>
      </c>
      <c r="C3" s="938" t="s">
        <v>158</v>
      </c>
      <c r="D3" s="938" t="s">
        <v>746</v>
      </c>
      <c r="E3" s="936" t="s">
        <v>186</v>
      </c>
      <c r="F3" s="936"/>
      <c r="G3" s="936" t="s">
        <v>774</v>
      </c>
      <c r="H3" s="936" t="s">
        <v>147</v>
      </c>
      <c r="I3" s="936" t="s">
        <v>159</v>
      </c>
      <c r="J3" s="937" t="s">
        <v>587</v>
      </c>
    </row>
    <row r="4" spans="1:10" ht="60.75" customHeight="1">
      <c r="A4" s="938"/>
      <c r="B4" s="938"/>
      <c r="C4" s="938"/>
      <c r="D4" s="938"/>
      <c r="E4" s="477" t="s">
        <v>790</v>
      </c>
      <c r="F4" s="477" t="s">
        <v>168</v>
      </c>
      <c r="G4" s="936"/>
      <c r="H4" s="936"/>
      <c r="I4" s="936"/>
      <c r="J4" s="937"/>
    </row>
    <row r="5" spans="1:10" ht="15">
      <c r="A5" s="476">
        <v>1</v>
      </c>
      <c r="B5" s="476">
        <v>2</v>
      </c>
      <c r="C5" s="476">
        <v>3</v>
      </c>
      <c r="D5" s="476">
        <v>4</v>
      </c>
      <c r="E5" s="476">
        <v>5</v>
      </c>
      <c r="F5" s="476">
        <v>6</v>
      </c>
      <c r="G5" s="476">
        <v>7</v>
      </c>
      <c r="H5" s="476">
        <v>8</v>
      </c>
      <c r="I5" s="476">
        <v>9</v>
      </c>
      <c r="J5" s="478">
        <v>10</v>
      </c>
    </row>
    <row r="6" spans="1:10" ht="15">
      <c r="A6" s="479" t="s">
        <v>749</v>
      </c>
      <c r="B6" s="479"/>
      <c r="C6" s="480" t="s">
        <v>60</v>
      </c>
      <c r="D6" s="480"/>
      <c r="E6" s="481"/>
      <c r="F6" s="481"/>
      <c r="G6" s="481"/>
      <c r="H6" s="481"/>
      <c r="I6" s="481"/>
      <c r="J6" s="482"/>
    </row>
    <row r="7" spans="1:10" ht="15">
      <c r="A7" s="479" t="s">
        <v>747</v>
      </c>
      <c r="B7" s="479"/>
      <c r="C7" s="483" t="s">
        <v>61</v>
      </c>
      <c r="D7" s="483"/>
      <c r="E7" s="481"/>
      <c r="F7" s="481"/>
      <c r="G7" s="481"/>
      <c r="H7" s="481"/>
      <c r="I7" s="481"/>
      <c r="J7" s="482"/>
    </row>
    <row r="8" spans="1:10" ht="15">
      <c r="A8" s="479" t="s">
        <v>750</v>
      </c>
      <c r="B8" s="479"/>
      <c r="C8" s="482"/>
      <c r="D8" s="483"/>
      <c r="E8" s="484"/>
      <c r="F8" s="484"/>
      <c r="G8" s="484"/>
      <c r="H8" s="484"/>
      <c r="I8" s="484"/>
      <c r="J8" s="482"/>
    </row>
    <row r="9" spans="1:10" ht="15">
      <c r="A9" s="479" t="s">
        <v>748</v>
      </c>
      <c r="B9" s="479"/>
      <c r="C9" s="483" t="s">
        <v>59</v>
      </c>
      <c r="D9" s="483"/>
      <c r="E9" s="484"/>
      <c r="F9" s="484">
        <f>SUM(F10:F11)</f>
        <v>5165.248</v>
      </c>
      <c r="G9" s="484"/>
      <c r="H9" s="484"/>
      <c r="I9" s="484"/>
      <c r="J9" s="482"/>
    </row>
    <row r="10" spans="1:10" ht="42.75">
      <c r="A10" s="479" t="s">
        <v>169</v>
      </c>
      <c r="B10" s="479" t="s">
        <v>543</v>
      </c>
      <c r="C10" s="624" t="s">
        <v>551</v>
      </c>
      <c r="D10" s="485"/>
      <c r="E10" s="484"/>
      <c r="F10" s="484">
        <f>'6. Пров закупівлі'!F22</f>
        <v>1870.636</v>
      </c>
      <c r="G10" s="484"/>
      <c r="H10" s="484" t="s">
        <v>541</v>
      </c>
      <c r="I10" s="484"/>
      <c r="J10" s="482"/>
    </row>
    <row r="11" spans="1:10" ht="28.5">
      <c r="A11" s="479" t="s">
        <v>520</v>
      </c>
      <c r="B11" s="619" t="s">
        <v>522</v>
      </c>
      <c r="C11" s="625" t="s">
        <v>516</v>
      </c>
      <c r="D11" s="485">
        <f>'6. Пров закупівлі'!D23</f>
        <v>261.275</v>
      </c>
      <c r="E11" s="484">
        <f>'6. Пров закупівлі'!E23</f>
        <v>10.58</v>
      </c>
      <c r="F11" s="484">
        <f>'6. Пров закупівлі'!F23</f>
        <v>3294.612</v>
      </c>
      <c r="G11" s="620" t="s">
        <v>523</v>
      </c>
      <c r="H11" s="484" t="s">
        <v>541</v>
      </c>
      <c r="I11" s="484"/>
      <c r="J11" s="482"/>
    </row>
    <row r="12" spans="1:10" ht="15">
      <c r="A12" s="479"/>
      <c r="B12" s="479"/>
      <c r="C12" s="486"/>
      <c r="D12" s="487"/>
      <c r="E12" s="484"/>
      <c r="F12" s="484"/>
      <c r="G12" s="484"/>
      <c r="H12" s="484"/>
      <c r="I12" s="484"/>
      <c r="J12" s="482"/>
    </row>
    <row r="13" spans="1:10" ht="15">
      <c r="A13" s="479" t="s">
        <v>782</v>
      </c>
      <c r="B13" s="479"/>
      <c r="C13" s="480" t="s">
        <v>62</v>
      </c>
      <c r="D13" s="480"/>
      <c r="E13" s="481"/>
      <c r="F13" s="481"/>
      <c r="G13" s="481"/>
      <c r="H13" s="481"/>
      <c r="I13" s="481"/>
      <c r="J13" s="482"/>
    </row>
    <row r="14" spans="1:10" ht="15">
      <c r="A14" s="479" t="s">
        <v>751</v>
      </c>
      <c r="B14" s="479"/>
      <c r="C14" s="483" t="s">
        <v>61</v>
      </c>
      <c r="D14" s="483"/>
      <c r="E14" s="481"/>
      <c r="F14" s="481"/>
      <c r="G14" s="481"/>
      <c r="H14" s="481"/>
      <c r="I14" s="481"/>
      <c r="J14" s="482"/>
    </row>
    <row r="15" spans="1:10" ht="20.25" customHeight="1">
      <c r="A15" s="479" t="s">
        <v>752</v>
      </c>
      <c r="B15" s="479"/>
      <c r="C15" s="626"/>
      <c r="D15" s="488"/>
      <c r="E15" s="484"/>
      <c r="F15" s="484"/>
      <c r="G15" s="484"/>
      <c r="H15" s="484"/>
      <c r="I15" s="484"/>
      <c r="J15" s="482"/>
    </row>
    <row r="16" spans="1:10" ht="16.5" customHeight="1">
      <c r="A16" s="479" t="s">
        <v>753</v>
      </c>
      <c r="B16" s="479"/>
      <c r="C16" s="483" t="s">
        <v>59</v>
      </c>
      <c r="D16" s="483"/>
      <c r="E16" s="484"/>
      <c r="F16" s="484">
        <f>SUM(F17:F19)</f>
        <v>4144.37</v>
      </c>
      <c r="G16" s="484"/>
      <c r="H16" s="484"/>
      <c r="I16" s="484"/>
      <c r="J16" s="482"/>
    </row>
    <row r="17" spans="1:10" ht="27" customHeight="1" hidden="1">
      <c r="A17" s="479" t="s">
        <v>709</v>
      </c>
      <c r="B17" s="479"/>
      <c r="C17" s="486"/>
      <c r="D17" s="483"/>
      <c r="E17" s="484"/>
      <c r="F17" s="484"/>
      <c r="G17" s="484"/>
      <c r="H17" s="484"/>
      <c r="I17" s="484"/>
      <c r="J17" s="482"/>
    </row>
    <row r="18" spans="1:10" ht="45.75" customHeight="1" hidden="1">
      <c r="A18" s="479" t="s">
        <v>585</v>
      </c>
      <c r="B18" s="479"/>
      <c r="C18" s="489"/>
      <c r="D18" s="483"/>
      <c r="E18" s="484"/>
      <c r="F18" s="484"/>
      <c r="G18" s="484"/>
      <c r="H18" s="484"/>
      <c r="I18" s="484"/>
      <c r="J18" s="482"/>
    </row>
    <row r="19" spans="1:10" ht="30" customHeight="1">
      <c r="A19" s="479" t="s">
        <v>709</v>
      </c>
      <c r="B19" s="479" t="s">
        <v>544</v>
      </c>
      <c r="C19" s="624" t="s">
        <v>411</v>
      </c>
      <c r="D19" s="490">
        <f>'6. Пров закупівлі'!D26</f>
        <v>258.69975031210987</v>
      </c>
      <c r="E19" s="484">
        <f>'6. Пров закупівлі'!E26</f>
        <v>16.02</v>
      </c>
      <c r="F19" s="484">
        <f>'6. Пров закупівлі'!F27</f>
        <v>4144.37</v>
      </c>
      <c r="G19" s="491" t="s">
        <v>529</v>
      </c>
      <c r="H19" s="484" t="s">
        <v>541</v>
      </c>
      <c r="I19" s="484"/>
      <c r="J19" s="482"/>
    </row>
    <row r="20" spans="1:10" ht="16.5" customHeight="1">
      <c r="A20" s="479" t="s">
        <v>783</v>
      </c>
      <c r="B20" s="479"/>
      <c r="C20" s="480" t="s">
        <v>63</v>
      </c>
      <c r="D20" s="480"/>
      <c r="E20" s="481"/>
      <c r="F20" s="481"/>
      <c r="G20" s="481"/>
      <c r="H20" s="481"/>
      <c r="I20" s="481"/>
      <c r="J20" s="482"/>
    </row>
    <row r="21" spans="1:10" ht="15">
      <c r="A21" s="479" t="s">
        <v>754</v>
      </c>
      <c r="B21" s="479"/>
      <c r="C21" s="483" t="s">
        <v>61</v>
      </c>
      <c r="D21" s="483"/>
      <c r="E21" s="481"/>
      <c r="F21" s="481"/>
      <c r="G21" s="481"/>
      <c r="H21" s="481"/>
      <c r="I21" s="481"/>
      <c r="J21" s="482"/>
    </row>
    <row r="22" spans="1:10" ht="15">
      <c r="A22" s="479" t="s">
        <v>755</v>
      </c>
      <c r="B22" s="479"/>
      <c r="C22" s="483"/>
      <c r="D22" s="483"/>
      <c r="E22" s="484"/>
      <c r="F22" s="484"/>
      <c r="G22" s="484"/>
      <c r="H22" s="484"/>
      <c r="I22" s="484"/>
      <c r="J22" s="482"/>
    </row>
    <row r="23" spans="1:10" ht="15" customHeight="1">
      <c r="A23" s="479" t="s">
        <v>756</v>
      </c>
      <c r="B23" s="479"/>
      <c r="C23" s="483" t="s">
        <v>59</v>
      </c>
      <c r="D23" s="483"/>
      <c r="E23" s="484"/>
      <c r="F23" s="484"/>
      <c r="G23" s="484"/>
      <c r="H23" s="484"/>
      <c r="I23" s="484"/>
      <c r="J23" s="482"/>
    </row>
    <row r="24" spans="1:10" ht="33" customHeight="1">
      <c r="A24" s="479" t="s">
        <v>545</v>
      </c>
      <c r="B24" s="479" t="s">
        <v>536</v>
      </c>
      <c r="C24" s="483" t="s">
        <v>533</v>
      </c>
      <c r="D24" s="476">
        <f>F24/E24</f>
        <v>102.82</v>
      </c>
      <c r="E24" s="484">
        <f>'6. Пров закупівлі'!E29</f>
        <v>6.04</v>
      </c>
      <c r="F24" s="484">
        <f>'6. Пров закупівлі'!F29</f>
        <v>621.0328</v>
      </c>
      <c r="G24" s="484"/>
      <c r="H24" s="484" t="s">
        <v>541</v>
      </c>
      <c r="I24" s="484"/>
      <c r="J24" s="482"/>
    </row>
    <row r="25" spans="1:10" ht="18" customHeight="1">
      <c r="A25" s="479"/>
      <c r="B25" s="479"/>
      <c r="C25" s="627"/>
      <c r="D25" s="483"/>
      <c r="E25" s="484"/>
      <c r="F25" s="484"/>
      <c r="G25" s="484"/>
      <c r="H25" s="484"/>
      <c r="I25" s="484"/>
      <c r="J25" s="482"/>
    </row>
    <row r="26" spans="1:10" ht="15">
      <c r="A26" s="479" t="s">
        <v>784</v>
      </c>
      <c r="B26" s="479"/>
      <c r="C26" s="480" t="s">
        <v>64</v>
      </c>
      <c r="D26" s="480"/>
      <c r="E26" s="481"/>
      <c r="F26" s="481"/>
      <c r="G26" s="481"/>
      <c r="H26" s="481"/>
      <c r="I26" s="481"/>
      <c r="J26" s="482"/>
    </row>
    <row r="27" spans="1:10" ht="15">
      <c r="A27" s="479" t="s">
        <v>757</v>
      </c>
      <c r="B27" s="479"/>
      <c r="C27" s="483" t="s">
        <v>61</v>
      </c>
      <c r="D27" s="483"/>
      <c r="E27" s="481"/>
      <c r="F27" s="481"/>
      <c r="G27" s="481"/>
      <c r="H27" s="481"/>
      <c r="I27" s="481"/>
      <c r="J27" s="482"/>
    </row>
    <row r="28" spans="1:10" ht="26.25" customHeight="1">
      <c r="A28" s="479" t="s">
        <v>758</v>
      </c>
      <c r="B28" s="479"/>
      <c r="C28" s="483" t="s">
        <v>781</v>
      </c>
      <c r="D28" s="483"/>
      <c r="E28" s="481"/>
      <c r="F28" s="481"/>
      <c r="G28" s="481"/>
      <c r="H28" s="481"/>
      <c r="I28" s="481"/>
      <c r="J28" s="482"/>
    </row>
    <row r="29" spans="1:10" ht="15">
      <c r="A29" s="479" t="s">
        <v>65</v>
      </c>
      <c r="B29" s="479"/>
      <c r="C29" s="483"/>
      <c r="D29" s="483"/>
      <c r="E29" s="484"/>
      <c r="F29" s="484"/>
      <c r="G29" s="484"/>
      <c r="H29" s="484"/>
      <c r="I29" s="484"/>
      <c r="J29" s="482"/>
    </row>
    <row r="30" spans="1:10" ht="30" customHeight="1">
      <c r="A30" s="479" t="s">
        <v>170</v>
      </c>
      <c r="B30" s="479"/>
      <c r="C30" s="483" t="s">
        <v>780</v>
      </c>
      <c r="D30" s="483"/>
      <c r="E30" s="484"/>
      <c r="F30" s="484"/>
      <c r="G30" s="484"/>
      <c r="H30" s="484"/>
      <c r="I30" s="484"/>
      <c r="J30" s="482"/>
    </row>
    <row r="31" spans="1:10" ht="15">
      <c r="A31" s="479" t="s">
        <v>171</v>
      </c>
      <c r="B31" s="479"/>
      <c r="C31" s="483"/>
      <c r="D31" s="483"/>
      <c r="E31" s="484"/>
      <c r="F31" s="484"/>
      <c r="G31" s="484"/>
      <c r="H31" s="484"/>
      <c r="I31" s="484"/>
      <c r="J31" s="482"/>
    </row>
    <row r="32" spans="1:10" ht="15" customHeight="1">
      <c r="A32" s="479" t="s">
        <v>759</v>
      </c>
      <c r="B32" s="479"/>
      <c r="C32" s="483" t="s">
        <v>59</v>
      </c>
      <c r="D32" s="483"/>
      <c r="E32" s="484"/>
      <c r="F32" s="484">
        <f>SUM(F33:F42)</f>
        <v>18584.70960420434</v>
      </c>
      <c r="G32" s="484"/>
      <c r="H32" s="484"/>
      <c r="I32" s="484"/>
      <c r="J32" s="482"/>
    </row>
    <row r="33" spans="1:10" ht="26.25" customHeight="1">
      <c r="A33" s="479" t="s">
        <v>546</v>
      </c>
      <c r="B33" s="479"/>
      <c r="C33" s="628" t="s">
        <v>400</v>
      </c>
      <c r="D33" s="492">
        <f>'6. Пров закупівлі'!D35</f>
        <v>255.379</v>
      </c>
      <c r="E33" s="618">
        <f>'6. Пров закупівлі'!E35</f>
        <v>19.370034341116536</v>
      </c>
      <c r="F33" s="484">
        <f>'6. Пров закупівлі'!F35</f>
        <v>4946.7</v>
      </c>
      <c r="G33" s="484" t="s">
        <v>528</v>
      </c>
      <c r="H33" s="484" t="s">
        <v>541</v>
      </c>
      <c r="I33" s="484"/>
      <c r="J33" s="482"/>
    </row>
    <row r="34" spans="1:10" ht="26.25" customHeight="1">
      <c r="A34" s="479" t="s">
        <v>547</v>
      </c>
      <c r="B34" s="479"/>
      <c r="C34" s="628" t="s">
        <v>401</v>
      </c>
      <c r="D34" s="492">
        <f>'6. Пров закупівлі'!D36</f>
        <v>243.078</v>
      </c>
      <c r="E34" s="618">
        <f>'6. Пров закупівлі'!E36</f>
        <v>8.994207620599148</v>
      </c>
      <c r="F34" s="484">
        <f>'6. Пров закупівлі'!F36</f>
        <v>2186.294</v>
      </c>
      <c r="G34" s="484" t="s">
        <v>528</v>
      </c>
      <c r="H34" s="484" t="s">
        <v>541</v>
      </c>
      <c r="I34" s="484"/>
      <c r="J34" s="482"/>
    </row>
    <row r="35" spans="1:10" ht="26.25" customHeight="1">
      <c r="A35" s="479" t="s">
        <v>548</v>
      </c>
      <c r="B35" s="479"/>
      <c r="C35" s="628" t="s">
        <v>402</v>
      </c>
      <c r="D35" s="492">
        <f>'6. Пров закупівлі'!D37</f>
        <v>261</v>
      </c>
      <c r="E35" s="618">
        <f>'6. Пров закупівлі'!E37</f>
        <v>8.83455938697318</v>
      </c>
      <c r="F35" s="484">
        <f>'6. Пров закупівлі'!F37</f>
        <v>2305.8199999999997</v>
      </c>
      <c r="G35" s="484" t="s">
        <v>527</v>
      </c>
      <c r="H35" s="484" t="s">
        <v>541</v>
      </c>
      <c r="I35" s="484"/>
      <c r="J35" s="482"/>
    </row>
    <row r="36" spans="1:10" ht="26.25" customHeight="1">
      <c r="A36" s="479" t="s">
        <v>549</v>
      </c>
      <c r="B36" s="479"/>
      <c r="C36" s="628" t="s">
        <v>403</v>
      </c>
      <c r="D36" s="492">
        <f>'6. Пров закупівлі'!D38</f>
        <v>253.437</v>
      </c>
      <c r="E36" s="618">
        <f>'6. Пров закупівлі'!E38</f>
        <v>10.775</v>
      </c>
      <c r="F36" s="484">
        <f>'6. Пров закупівлі'!F38</f>
        <v>2730.783675</v>
      </c>
      <c r="G36" s="484" t="s">
        <v>528</v>
      </c>
      <c r="H36" s="484" t="s">
        <v>541</v>
      </c>
      <c r="I36" s="484"/>
      <c r="J36" s="482"/>
    </row>
    <row r="37" spans="1:10" ht="26.25" customHeight="1">
      <c r="A37" s="479" t="s">
        <v>521</v>
      </c>
      <c r="B37" s="479"/>
      <c r="C37" s="169" t="s">
        <v>518</v>
      </c>
      <c r="D37" s="492">
        <f>'6. Пров закупівлі'!D39</f>
        <v>241.59</v>
      </c>
      <c r="E37" s="618">
        <f>'6. Пров закупівлі'!E39</f>
        <v>11.1101120874388</v>
      </c>
      <c r="F37" s="484">
        <f>'6. Пров закупівлі'!F39</f>
        <v>2684.0919792043396</v>
      </c>
      <c r="G37" s="621" t="s">
        <v>524</v>
      </c>
      <c r="H37" s="484" t="s">
        <v>541</v>
      </c>
      <c r="I37" s="484"/>
      <c r="J37" s="482"/>
    </row>
    <row r="38" spans="1:10" ht="26.25" customHeight="1">
      <c r="A38" s="479" t="s">
        <v>79</v>
      </c>
      <c r="B38" s="479"/>
      <c r="C38" s="123" t="s">
        <v>1</v>
      </c>
      <c r="D38" s="492">
        <f>'6. Пров закупівлі'!D40</f>
        <v>189.14</v>
      </c>
      <c r="E38" s="618">
        <f>'6. Пров закупівлі'!E40</f>
        <v>10.42998308131543</v>
      </c>
      <c r="F38" s="484">
        <f>'6. Пров закупівлі'!F40</f>
        <v>1972.7270000000003</v>
      </c>
      <c r="G38" s="621" t="s">
        <v>524</v>
      </c>
      <c r="H38" s="484" t="s">
        <v>541</v>
      </c>
      <c r="I38" s="484"/>
      <c r="J38" s="482"/>
    </row>
    <row r="39" spans="1:10" ht="26.25" customHeight="1">
      <c r="A39" s="479" t="s">
        <v>80</v>
      </c>
      <c r="B39" s="479"/>
      <c r="C39" s="123" t="s">
        <v>2</v>
      </c>
      <c r="D39" s="492">
        <f>'6. Пров закупівлі'!D41</f>
        <v>261.798</v>
      </c>
      <c r="E39" s="618">
        <f>'6. Пров закупівлі'!E41</f>
        <v>0.6217839708477523</v>
      </c>
      <c r="F39" s="484">
        <f>'6. Пров закупівлі'!F41</f>
        <v>162.78179999999986</v>
      </c>
      <c r="G39" s="621" t="s">
        <v>51</v>
      </c>
      <c r="H39" s="484" t="s">
        <v>541</v>
      </c>
      <c r="I39" s="484"/>
      <c r="J39" s="482"/>
    </row>
    <row r="40" spans="1:10" ht="26.25" customHeight="1">
      <c r="A40" s="479" t="s">
        <v>81</v>
      </c>
      <c r="B40" s="479"/>
      <c r="C40" s="123" t="s">
        <v>3</v>
      </c>
      <c r="D40" s="492">
        <f>'6. Пров закупівлі'!D42</f>
        <v>251.1</v>
      </c>
      <c r="E40" s="618">
        <f>'6. Пров закупівлі'!E42</f>
        <v>2.46700119474313</v>
      </c>
      <c r="F40" s="484">
        <f>'6. Пров закупівлі'!F42</f>
        <v>619.4639999999999</v>
      </c>
      <c r="G40" s="621" t="s">
        <v>52</v>
      </c>
      <c r="H40" s="484" t="s">
        <v>541</v>
      </c>
      <c r="I40" s="484"/>
      <c r="J40" s="482"/>
    </row>
    <row r="41" spans="1:10" ht="26.25" customHeight="1">
      <c r="A41" s="479" t="s">
        <v>82</v>
      </c>
      <c r="B41" s="479"/>
      <c r="C41" s="123" t="s">
        <v>4</v>
      </c>
      <c r="D41" s="492">
        <f>'6. Пров закупівлі'!D43</f>
        <v>258.19</v>
      </c>
      <c r="E41" s="618">
        <f>'6. Пров закупівлі'!E43</f>
        <v>2.2365976606375146</v>
      </c>
      <c r="F41" s="484">
        <f>'6. Пров закупівлі'!F43</f>
        <v>577.46715</v>
      </c>
      <c r="G41" s="621" t="s">
        <v>52</v>
      </c>
      <c r="H41" s="484" t="s">
        <v>541</v>
      </c>
      <c r="I41" s="484"/>
      <c r="J41" s="482"/>
    </row>
    <row r="42" spans="1:10" ht="26.25" customHeight="1">
      <c r="A42" s="479" t="s">
        <v>83</v>
      </c>
      <c r="B42" s="479"/>
      <c r="C42" s="123" t="s">
        <v>5</v>
      </c>
      <c r="D42" s="492">
        <f>'6. Пров закупівлі'!D44</f>
        <v>251.87</v>
      </c>
      <c r="E42" s="618">
        <f>'6. Пров закупівлі'!E44</f>
        <v>1.5824830269583514</v>
      </c>
      <c r="F42" s="484">
        <f>'6. Пров закупівлі'!F44</f>
        <v>398.58</v>
      </c>
      <c r="G42" s="621" t="s">
        <v>52</v>
      </c>
      <c r="H42" s="484" t="s">
        <v>541</v>
      </c>
      <c r="I42" s="484"/>
      <c r="J42" s="482"/>
    </row>
    <row r="43" spans="1:10" ht="15">
      <c r="A43" s="479"/>
      <c r="B43" s="479"/>
      <c r="C43" s="493"/>
      <c r="D43" s="485"/>
      <c r="E43" s="485"/>
      <c r="F43" s="484"/>
      <c r="G43" s="494"/>
      <c r="H43" s="484"/>
      <c r="I43" s="484"/>
      <c r="J43" s="484"/>
    </row>
    <row r="44" spans="1:10" ht="15">
      <c r="A44" s="495">
        <v>6</v>
      </c>
      <c r="B44" s="495"/>
      <c r="C44" s="480" t="s">
        <v>66</v>
      </c>
      <c r="D44" s="480"/>
      <c r="E44" s="476"/>
      <c r="F44" s="481"/>
      <c r="G44" s="481"/>
      <c r="H44" s="481"/>
      <c r="I44" s="481"/>
      <c r="J44" s="481"/>
    </row>
    <row r="45" spans="1:10" ht="15">
      <c r="A45" s="479" t="s">
        <v>187</v>
      </c>
      <c r="B45" s="479"/>
      <c r="C45" s="483" t="s">
        <v>61</v>
      </c>
      <c r="D45" s="483"/>
      <c r="E45" s="476"/>
      <c r="F45" s="484"/>
      <c r="G45" s="484"/>
      <c r="H45" s="484"/>
      <c r="I45" s="484"/>
      <c r="J45" s="484"/>
    </row>
    <row r="46" spans="1:10" ht="11.25" customHeight="1">
      <c r="A46" s="479" t="s">
        <v>172</v>
      </c>
      <c r="B46" s="479"/>
      <c r="C46" s="483"/>
      <c r="D46" s="483"/>
      <c r="E46" s="476"/>
      <c r="F46" s="484"/>
      <c r="G46" s="484"/>
      <c r="H46" s="484"/>
      <c r="I46" s="484"/>
      <c r="J46" s="484"/>
    </row>
    <row r="47" spans="1:10" ht="15">
      <c r="A47" s="479" t="s">
        <v>188</v>
      </c>
      <c r="B47" s="479"/>
      <c r="C47" s="483" t="s">
        <v>59</v>
      </c>
      <c r="D47" s="483"/>
      <c r="E47" s="476"/>
      <c r="F47" s="484"/>
      <c r="G47" s="484"/>
      <c r="H47" s="484"/>
      <c r="I47" s="484"/>
      <c r="J47" s="484"/>
    </row>
    <row r="48" spans="1:10" ht="15">
      <c r="A48" s="479" t="s">
        <v>67</v>
      </c>
      <c r="B48" s="479"/>
      <c r="C48" s="482"/>
      <c r="D48" s="482"/>
      <c r="E48" s="476"/>
      <c r="F48" s="484"/>
      <c r="G48" s="484"/>
      <c r="H48" s="484"/>
      <c r="I48" s="484"/>
      <c r="J48" s="484"/>
    </row>
    <row r="49" spans="1:10" ht="15">
      <c r="A49" s="479" t="s">
        <v>785</v>
      </c>
      <c r="B49" s="479"/>
      <c r="C49" s="480" t="s">
        <v>68</v>
      </c>
      <c r="D49" s="480"/>
      <c r="E49" s="481"/>
      <c r="F49" s="481"/>
      <c r="G49" s="481"/>
      <c r="H49" s="481"/>
      <c r="I49" s="481"/>
      <c r="J49" s="482"/>
    </row>
    <row r="50" spans="1:10" ht="15">
      <c r="A50" s="479" t="s">
        <v>760</v>
      </c>
      <c r="B50" s="479"/>
      <c r="C50" s="483" t="s">
        <v>61</v>
      </c>
      <c r="D50" s="483"/>
      <c r="E50" s="481"/>
      <c r="F50" s="481"/>
      <c r="G50" s="481"/>
      <c r="H50" s="481"/>
      <c r="I50" s="481"/>
      <c r="J50" s="482"/>
    </row>
    <row r="51" spans="1:10" ht="15">
      <c r="A51" s="479" t="s">
        <v>78</v>
      </c>
      <c r="B51" s="479"/>
      <c r="C51" s="483"/>
      <c r="D51" s="483"/>
      <c r="E51" s="484"/>
      <c r="F51" s="484"/>
      <c r="G51" s="484"/>
      <c r="H51" s="484"/>
      <c r="I51" s="484"/>
      <c r="J51" s="482"/>
    </row>
    <row r="52" spans="1:10" ht="13.5" customHeight="1">
      <c r="A52" s="479" t="s">
        <v>761</v>
      </c>
      <c r="B52" s="479"/>
      <c r="C52" s="483" t="s">
        <v>59</v>
      </c>
      <c r="D52" s="483"/>
      <c r="E52" s="484"/>
      <c r="F52" s="484">
        <f>SUM(F53:F55)</f>
        <v>1743.9364</v>
      </c>
      <c r="G52" s="484"/>
      <c r="H52" s="484"/>
      <c r="I52" s="484"/>
      <c r="J52" s="482"/>
    </row>
    <row r="53" spans="1:10" ht="28.5">
      <c r="A53" s="479" t="s">
        <v>762</v>
      </c>
      <c r="B53" s="479" t="s">
        <v>537</v>
      </c>
      <c r="C53" s="496" t="s">
        <v>538</v>
      </c>
      <c r="D53" s="490">
        <f>'6. Пров закупівлі'!D30</f>
        <v>143</v>
      </c>
      <c r="E53" s="484">
        <f>'6. Пров закупівлі'!E30</f>
        <v>0.23</v>
      </c>
      <c r="F53" s="484">
        <f>D53*0.23</f>
        <v>32.89</v>
      </c>
      <c r="G53" s="491"/>
      <c r="H53" s="484" t="s">
        <v>542</v>
      </c>
      <c r="I53" s="484"/>
      <c r="J53" s="482"/>
    </row>
    <row r="54" spans="1:10" ht="51">
      <c r="A54" s="479" t="s">
        <v>84</v>
      </c>
      <c r="B54" s="479"/>
      <c r="C54" s="789" t="s">
        <v>0</v>
      </c>
      <c r="D54" s="490"/>
      <c r="E54" s="484"/>
      <c r="F54" s="484">
        <f>'6. Пров закупівлі'!F31</f>
        <v>1711.0464</v>
      </c>
      <c r="G54" s="621" t="s">
        <v>53</v>
      </c>
      <c r="H54" s="620" t="s">
        <v>54</v>
      </c>
      <c r="I54" s="484"/>
      <c r="J54" s="482"/>
    </row>
    <row r="55" spans="1:10" ht="15">
      <c r="A55" s="479"/>
      <c r="B55" s="479"/>
      <c r="C55" s="496"/>
      <c r="D55" s="483"/>
      <c r="E55" s="484"/>
      <c r="F55" s="484"/>
      <c r="G55" s="491"/>
      <c r="H55" s="484"/>
      <c r="I55" s="484"/>
      <c r="J55" s="482"/>
    </row>
    <row r="56" spans="1:10" ht="30">
      <c r="A56" s="479" t="s">
        <v>787</v>
      </c>
      <c r="B56" s="479"/>
      <c r="C56" s="497" t="s">
        <v>69</v>
      </c>
      <c r="D56" s="497"/>
      <c r="E56" s="498"/>
      <c r="F56" s="498"/>
      <c r="G56" s="498"/>
      <c r="H56" s="498"/>
      <c r="I56" s="498"/>
      <c r="J56" s="482"/>
    </row>
    <row r="57" spans="1:10" ht="15">
      <c r="A57" s="479" t="s">
        <v>763</v>
      </c>
      <c r="B57" s="479"/>
      <c r="C57" s="483" t="s">
        <v>61</v>
      </c>
      <c r="D57" s="483"/>
      <c r="E57" s="498"/>
      <c r="F57" s="498"/>
      <c r="G57" s="498"/>
      <c r="H57" s="498"/>
      <c r="I57" s="498"/>
      <c r="J57" s="482"/>
    </row>
    <row r="58" spans="1:10" ht="16.5" customHeight="1">
      <c r="A58" s="479" t="s">
        <v>764</v>
      </c>
      <c r="B58" s="479"/>
      <c r="C58" s="483"/>
      <c r="D58" s="483"/>
      <c r="E58" s="484"/>
      <c r="F58" s="484"/>
      <c r="G58" s="484"/>
      <c r="H58" s="484"/>
      <c r="I58" s="484"/>
      <c r="J58" s="482"/>
    </row>
    <row r="59" spans="1:10" ht="14.25" customHeight="1">
      <c r="A59" s="479" t="s">
        <v>765</v>
      </c>
      <c r="B59" s="479"/>
      <c r="C59" s="483" t="s">
        <v>59</v>
      </c>
      <c r="D59" s="483"/>
      <c r="E59" s="484"/>
      <c r="F59" s="484"/>
      <c r="G59" s="484"/>
      <c r="H59" s="484"/>
      <c r="I59" s="484"/>
      <c r="J59" s="482"/>
    </row>
    <row r="60" spans="1:10" ht="15">
      <c r="A60" s="479" t="s">
        <v>173</v>
      </c>
      <c r="B60" s="482"/>
      <c r="C60" s="482"/>
      <c r="D60" s="482"/>
      <c r="E60" s="484"/>
      <c r="F60" s="484"/>
      <c r="G60" s="484"/>
      <c r="H60" s="484"/>
      <c r="I60" s="484"/>
      <c r="J60" s="482"/>
    </row>
    <row r="61" spans="1:10" ht="15">
      <c r="A61" s="479" t="s">
        <v>766</v>
      </c>
      <c r="B61" s="479"/>
      <c r="C61" s="483" t="s">
        <v>70</v>
      </c>
      <c r="D61" s="483"/>
      <c r="E61" s="484"/>
      <c r="F61" s="484">
        <f>SUM(F63:F68)</f>
        <v>38395.272</v>
      </c>
      <c r="G61" s="484"/>
      <c r="H61" s="484"/>
      <c r="I61" s="484"/>
      <c r="J61" s="482"/>
    </row>
    <row r="62" spans="1:10" ht="15">
      <c r="A62" s="479"/>
      <c r="B62" s="479"/>
      <c r="C62" s="483"/>
      <c r="D62" s="483"/>
      <c r="E62" s="484"/>
      <c r="F62" s="484"/>
      <c r="G62" s="484"/>
      <c r="H62" s="484"/>
      <c r="I62" s="484"/>
      <c r="J62" s="482"/>
    </row>
    <row r="63" spans="1:10" ht="50.25" customHeight="1">
      <c r="A63" s="479" t="s">
        <v>508</v>
      </c>
      <c r="B63" s="781" t="s">
        <v>506</v>
      </c>
      <c r="C63" s="782" t="s">
        <v>15</v>
      </c>
      <c r="D63" s="483"/>
      <c r="E63" s="484"/>
      <c r="F63" s="484">
        <f>'6. Пров закупівлі'!F54</f>
        <v>1278.33</v>
      </c>
      <c r="G63" s="621" t="s">
        <v>56</v>
      </c>
      <c r="H63" s="620" t="s">
        <v>54</v>
      </c>
      <c r="I63" s="484"/>
      <c r="J63" s="482"/>
    </row>
    <row r="64" spans="1:10" ht="35.25" customHeight="1">
      <c r="A64" s="479" t="s">
        <v>550</v>
      </c>
      <c r="B64" s="781" t="s">
        <v>513</v>
      </c>
      <c r="C64" s="782" t="s">
        <v>192</v>
      </c>
      <c r="D64" s="492">
        <f>'6. Пров закупівлі'!D56</f>
        <v>3943.971</v>
      </c>
      <c r="E64" s="484">
        <v>1</v>
      </c>
      <c r="F64" s="484">
        <f>D64*1</f>
        <v>3943.971</v>
      </c>
      <c r="G64" s="484" t="s">
        <v>515</v>
      </c>
      <c r="H64" s="484" t="s">
        <v>542</v>
      </c>
      <c r="I64" s="484"/>
      <c r="J64" s="482"/>
    </row>
    <row r="65" spans="1:10" ht="35.25" customHeight="1">
      <c r="A65" s="479" t="s">
        <v>509</v>
      </c>
      <c r="B65" s="479" t="s">
        <v>513</v>
      </c>
      <c r="C65" s="628" t="s">
        <v>381</v>
      </c>
      <c r="D65" s="492">
        <f>'6. Пров закупівлі'!D57</f>
        <v>6172.971</v>
      </c>
      <c r="E65" s="484">
        <v>1</v>
      </c>
      <c r="F65" s="484">
        <f>D65*1</f>
        <v>6172.971</v>
      </c>
      <c r="G65" s="484" t="s">
        <v>515</v>
      </c>
      <c r="H65" s="484" t="s">
        <v>542</v>
      </c>
      <c r="I65" s="484"/>
      <c r="J65" s="482"/>
    </row>
    <row r="66" spans="1:10" ht="28.5">
      <c r="A66" s="479" t="s">
        <v>510</v>
      </c>
      <c r="B66" s="479" t="s">
        <v>506</v>
      </c>
      <c r="C66" s="628" t="s">
        <v>382</v>
      </c>
      <c r="D66" s="492">
        <f>'6. Пров закупівлі'!D58</f>
        <v>9000</v>
      </c>
      <c r="E66" s="484">
        <v>1</v>
      </c>
      <c r="F66" s="484">
        <f>D66*1</f>
        <v>9000</v>
      </c>
      <c r="G66" s="484" t="s">
        <v>515</v>
      </c>
      <c r="H66" s="484" t="s">
        <v>542</v>
      </c>
      <c r="I66" s="484"/>
      <c r="J66" s="482"/>
    </row>
    <row r="67" spans="1:10" ht="28.5">
      <c r="A67" s="479" t="s">
        <v>511</v>
      </c>
      <c r="B67" s="479" t="s">
        <v>514</v>
      </c>
      <c r="C67" s="628" t="s">
        <v>383</v>
      </c>
      <c r="D67" s="492">
        <f>'6. Пров закупівлі'!D58</f>
        <v>9000</v>
      </c>
      <c r="E67" s="484">
        <v>1</v>
      </c>
      <c r="F67" s="484">
        <f>D67*1</f>
        <v>9000</v>
      </c>
      <c r="G67" s="484" t="s">
        <v>515</v>
      </c>
      <c r="H67" s="484" t="s">
        <v>542</v>
      </c>
      <c r="I67" s="484"/>
      <c r="J67" s="482"/>
    </row>
    <row r="68" spans="1:10" ht="28.5">
      <c r="A68" s="479" t="s">
        <v>57</v>
      </c>
      <c r="B68" s="479" t="s">
        <v>514</v>
      </c>
      <c r="C68" s="628" t="s">
        <v>384</v>
      </c>
      <c r="D68" s="492">
        <f>'6. Пров закупівлі'!D58</f>
        <v>9000</v>
      </c>
      <c r="E68" s="484">
        <v>1</v>
      </c>
      <c r="F68" s="484">
        <f>D68*1</f>
        <v>9000</v>
      </c>
      <c r="G68" s="484" t="s">
        <v>515</v>
      </c>
      <c r="H68" s="484" t="s">
        <v>542</v>
      </c>
      <c r="I68" s="484"/>
      <c r="J68" s="482"/>
    </row>
    <row r="69" spans="1:10" ht="15">
      <c r="A69" s="479"/>
      <c r="B69" s="479"/>
      <c r="C69" s="628"/>
      <c r="D69" s="483"/>
      <c r="E69" s="484"/>
      <c r="F69" s="484"/>
      <c r="G69" s="484"/>
      <c r="H69" s="484"/>
      <c r="I69" s="484"/>
      <c r="J69" s="482"/>
    </row>
    <row r="70" spans="1:10" ht="30">
      <c r="A70" s="479" t="s">
        <v>788</v>
      </c>
      <c r="B70" s="479"/>
      <c r="C70" s="497" t="s">
        <v>71</v>
      </c>
      <c r="D70" s="497"/>
      <c r="E70" s="498"/>
      <c r="F70" s="498"/>
      <c r="G70" s="498"/>
      <c r="H70" s="498"/>
      <c r="I70" s="498"/>
      <c r="J70" s="482"/>
    </row>
    <row r="71" spans="1:10" ht="15">
      <c r="A71" s="479" t="s">
        <v>767</v>
      </c>
      <c r="B71" s="479"/>
      <c r="C71" s="483" t="s">
        <v>61</v>
      </c>
      <c r="D71" s="483"/>
      <c r="E71" s="498"/>
      <c r="F71" s="481">
        <f>F72</f>
        <v>897.16</v>
      </c>
      <c r="G71" s="498"/>
      <c r="H71" s="498"/>
      <c r="I71" s="498"/>
      <c r="J71" s="482"/>
    </row>
    <row r="72" spans="1:10" ht="32.25" customHeight="1">
      <c r="A72" s="479" t="s">
        <v>174</v>
      </c>
      <c r="B72" s="479"/>
      <c r="C72" s="667" t="s">
        <v>461</v>
      </c>
      <c r="D72" s="483"/>
      <c r="E72" s="484"/>
      <c r="F72" s="484">
        <f>'6. Пров закупівлі'!F17</f>
        <v>897.16</v>
      </c>
      <c r="G72" s="668" t="s">
        <v>465</v>
      </c>
      <c r="H72" s="484"/>
      <c r="I72" s="484"/>
      <c r="J72" s="482"/>
    </row>
    <row r="73" spans="1:10" ht="21.75" customHeight="1">
      <c r="A73" s="479"/>
      <c r="B73" s="479"/>
      <c r="C73" s="667"/>
      <c r="D73" s="483"/>
      <c r="E73" s="484"/>
      <c r="F73" s="484"/>
      <c r="G73" s="491"/>
      <c r="H73" s="484"/>
      <c r="I73" s="484"/>
      <c r="J73" s="482"/>
    </row>
    <row r="74" spans="1:10" ht="19.5" customHeight="1">
      <c r="A74" s="479" t="s">
        <v>768</v>
      </c>
      <c r="B74" s="479"/>
      <c r="C74" s="483" t="s">
        <v>59</v>
      </c>
      <c r="D74" s="483"/>
      <c r="E74" s="484"/>
      <c r="F74" s="484"/>
      <c r="G74" s="484"/>
      <c r="H74" s="484"/>
      <c r="I74" s="484"/>
      <c r="J74" s="482"/>
    </row>
    <row r="75" spans="1:10" ht="28.5" customHeight="1">
      <c r="A75" s="479" t="s">
        <v>778</v>
      </c>
      <c r="B75" s="479"/>
      <c r="C75" s="790" t="s">
        <v>12</v>
      </c>
      <c r="D75" s="483"/>
      <c r="E75" s="484"/>
      <c r="F75" s="484">
        <f>'6. Пров закупівлі'!F49</f>
        <v>36.53</v>
      </c>
      <c r="G75" s="620" t="s">
        <v>55</v>
      </c>
      <c r="H75" s="484"/>
      <c r="I75" s="484"/>
      <c r="J75" s="482"/>
    </row>
    <row r="76" spans="1:10" ht="17.25" customHeight="1">
      <c r="A76" s="479" t="s">
        <v>778</v>
      </c>
      <c r="B76" s="479"/>
      <c r="C76" s="499"/>
      <c r="D76" s="483"/>
      <c r="E76" s="484"/>
      <c r="F76" s="484"/>
      <c r="G76" s="484"/>
      <c r="H76" s="484"/>
      <c r="I76" s="484"/>
      <c r="J76" s="482"/>
    </row>
    <row r="77" spans="1:10" ht="15">
      <c r="A77" s="479" t="s">
        <v>779</v>
      </c>
      <c r="B77" s="479"/>
      <c r="C77" s="483" t="s">
        <v>70</v>
      </c>
      <c r="D77" s="483"/>
      <c r="E77" s="484"/>
      <c r="F77" s="484">
        <f>SUM(F78:F79)</f>
        <v>3074.7419999999997</v>
      </c>
      <c r="G77" s="484"/>
      <c r="H77" s="484"/>
      <c r="I77" s="484"/>
      <c r="J77" s="482"/>
    </row>
    <row r="78" spans="1:10" ht="29.25">
      <c r="A78" s="479" t="s">
        <v>466</v>
      </c>
      <c r="B78" s="479" t="s">
        <v>262</v>
      </c>
      <c r="C78" s="669" t="s">
        <v>263</v>
      </c>
      <c r="D78" s="492">
        <f>'6. Пров закупівлі'!D62</f>
        <v>2163.171</v>
      </c>
      <c r="E78" s="484">
        <v>1</v>
      </c>
      <c r="F78" s="484">
        <f>D78*1</f>
        <v>2163.171</v>
      </c>
      <c r="G78" s="484"/>
      <c r="H78" s="484" t="s">
        <v>542</v>
      </c>
      <c r="I78" s="484"/>
      <c r="J78" s="482"/>
    </row>
    <row r="79" spans="1:10" ht="28.5">
      <c r="A79" s="479" t="s">
        <v>47</v>
      </c>
      <c r="B79" s="781" t="s">
        <v>45</v>
      </c>
      <c r="C79" s="782" t="s">
        <v>46</v>
      </c>
      <c r="D79" s="492">
        <f>'6. Пров закупівлі'!D63</f>
        <v>911.571</v>
      </c>
      <c r="E79" s="780">
        <v>1</v>
      </c>
      <c r="F79" s="484">
        <f>D79*1</f>
        <v>911.571</v>
      </c>
      <c r="G79" s="484"/>
      <c r="H79" s="484" t="s">
        <v>542</v>
      </c>
      <c r="I79" s="484"/>
      <c r="J79" s="482"/>
    </row>
    <row r="80" spans="1:10" ht="15">
      <c r="A80" s="479"/>
      <c r="B80" s="479"/>
      <c r="C80" s="499"/>
      <c r="D80" s="500"/>
      <c r="E80" s="501"/>
      <c r="F80" s="484"/>
      <c r="G80" s="491"/>
      <c r="H80" s="484"/>
      <c r="I80" s="491"/>
      <c r="J80" s="482"/>
    </row>
    <row r="81" spans="1:10" ht="15">
      <c r="A81" s="479" t="s">
        <v>789</v>
      </c>
      <c r="B81" s="479"/>
      <c r="C81" s="480" t="s">
        <v>72</v>
      </c>
      <c r="D81" s="480"/>
      <c r="E81" s="498"/>
      <c r="F81" s="498"/>
      <c r="G81" s="498"/>
      <c r="H81" s="498"/>
      <c r="I81" s="498"/>
      <c r="J81" s="482"/>
    </row>
    <row r="82" spans="1:10" ht="15">
      <c r="A82" s="479" t="s">
        <v>575</v>
      </c>
      <c r="B82" s="479"/>
      <c r="C82" s="483" t="s">
        <v>61</v>
      </c>
      <c r="D82" s="483"/>
      <c r="E82" s="498"/>
      <c r="F82" s="498"/>
      <c r="G82" s="498"/>
      <c r="H82" s="498"/>
      <c r="I82" s="498"/>
      <c r="J82" s="482"/>
    </row>
    <row r="83" spans="1:10" ht="15">
      <c r="A83" s="479" t="s">
        <v>576</v>
      </c>
      <c r="B83" s="479"/>
      <c r="C83" s="483"/>
      <c r="D83" s="483"/>
      <c r="E83" s="484"/>
      <c r="F83" s="484"/>
      <c r="G83" s="484"/>
      <c r="H83" s="484"/>
      <c r="I83" s="484"/>
      <c r="J83" s="482"/>
    </row>
    <row r="84" spans="1:10" ht="15" customHeight="1">
      <c r="A84" s="479" t="s">
        <v>577</v>
      </c>
      <c r="B84" s="479"/>
      <c r="C84" s="483" t="s">
        <v>59</v>
      </c>
      <c r="D84" s="483"/>
      <c r="E84" s="484"/>
      <c r="F84" s="484"/>
      <c r="G84" s="484"/>
      <c r="H84" s="484"/>
      <c r="I84" s="484"/>
      <c r="J84" s="482"/>
    </row>
    <row r="85" spans="1:10" ht="15">
      <c r="A85" s="479" t="s">
        <v>73</v>
      </c>
      <c r="B85" s="479"/>
      <c r="C85" s="482"/>
      <c r="D85" s="482"/>
      <c r="E85" s="484"/>
      <c r="F85" s="484"/>
      <c r="G85" s="484"/>
      <c r="H85" s="484"/>
      <c r="I85" s="484"/>
      <c r="J85" s="482"/>
    </row>
    <row r="86" spans="1:10" ht="15">
      <c r="A86" s="479" t="s">
        <v>578</v>
      </c>
      <c r="B86" s="479"/>
      <c r="C86" s="483" t="s">
        <v>70</v>
      </c>
      <c r="D86" s="483"/>
      <c r="E86" s="484"/>
      <c r="F86" s="484"/>
      <c r="G86" s="484"/>
      <c r="H86" s="484"/>
      <c r="I86" s="484"/>
      <c r="J86" s="482"/>
    </row>
    <row r="87" spans="1:10" ht="15" hidden="1">
      <c r="A87" s="479"/>
      <c r="B87" s="479"/>
      <c r="C87" s="483"/>
      <c r="D87" s="483"/>
      <c r="E87" s="484"/>
      <c r="F87" s="484"/>
      <c r="G87" s="484"/>
      <c r="H87" s="484"/>
      <c r="I87" s="484"/>
      <c r="J87" s="482"/>
    </row>
    <row r="88" spans="1:10" ht="15" hidden="1">
      <c r="A88" s="502" t="s">
        <v>579</v>
      </c>
      <c r="B88" s="479"/>
      <c r="C88" s="483"/>
      <c r="D88" s="503"/>
      <c r="E88" s="504"/>
      <c r="F88" s="484"/>
      <c r="G88" s="482"/>
      <c r="H88" s="503"/>
      <c r="I88" s="484"/>
      <c r="J88" s="482"/>
    </row>
    <row r="89" spans="1:10" ht="15" hidden="1">
      <c r="A89" s="479"/>
      <c r="B89" s="479"/>
      <c r="C89" s="505"/>
      <c r="D89" s="506"/>
      <c r="E89" s="484"/>
      <c r="F89" s="484"/>
      <c r="G89" s="484"/>
      <c r="H89" s="484"/>
      <c r="I89" s="484"/>
      <c r="J89" s="482"/>
    </row>
    <row r="90" spans="1:10" ht="15" hidden="1">
      <c r="A90" s="502" t="s">
        <v>769</v>
      </c>
      <c r="B90" s="479"/>
      <c r="C90" s="505"/>
      <c r="D90" s="503"/>
      <c r="E90" s="484"/>
      <c r="F90" s="484"/>
      <c r="G90" s="482"/>
      <c r="H90" s="503"/>
      <c r="I90" s="484"/>
      <c r="J90" s="482"/>
    </row>
    <row r="91" spans="1:10" ht="15" hidden="1">
      <c r="A91" s="479"/>
      <c r="B91" s="479"/>
      <c r="C91" s="505"/>
      <c r="D91" s="503"/>
      <c r="E91" s="484"/>
      <c r="F91" s="484"/>
      <c r="G91" s="484"/>
      <c r="H91" s="484"/>
      <c r="I91" s="484"/>
      <c r="J91" s="482"/>
    </row>
    <row r="92" spans="1:10" ht="15" hidden="1">
      <c r="A92" s="502" t="s">
        <v>317</v>
      </c>
      <c r="B92" s="479"/>
      <c r="C92" s="505"/>
      <c r="D92" s="503"/>
      <c r="E92" s="484"/>
      <c r="F92" s="484"/>
      <c r="G92" s="482"/>
      <c r="H92" s="503"/>
      <c r="I92" s="484"/>
      <c r="J92" s="482"/>
    </row>
    <row r="93" spans="1:10" ht="15" hidden="1">
      <c r="A93" s="479"/>
      <c r="B93" s="479"/>
      <c r="C93" s="505"/>
      <c r="D93" s="503"/>
      <c r="E93" s="484"/>
      <c r="F93" s="484"/>
      <c r="G93" s="484"/>
      <c r="H93" s="484"/>
      <c r="I93" s="484"/>
      <c r="J93" s="482"/>
    </row>
    <row r="94" spans="1:10" ht="15" hidden="1">
      <c r="A94" s="502" t="s">
        <v>318</v>
      </c>
      <c r="B94" s="502"/>
      <c r="C94" s="493"/>
      <c r="D94" s="503"/>
      <c r="E94" s="484"/>
      <c r="F94" s="484"/>
      <c r="G94" s="482"/>
      <c r="H94" s="503"/>
      <c r="I94" s="484"/>
      <c r="J94" s="482"/>
    </row>
    <row r="95" spans="1:10" ht="15" hidden="1">
      <c r="A95" s="479"/>
      <c r="B95" s="502"/>
      <c r="C95" s="505"/>
      <c r="D95" s="503"/>
      <c r="E95" s="484"/>
      <c r="F95" s="484"/>
      <c r="G95" s="484"/>
      <c r="H95" s="484"/>
      <c r="I95" s="484"/>
      <c r="J95" s="482"/>
    </row>
    <row r="96" spans="1:10" s="407" customFormat="1" ht="15" hidden="1">
      <c r="A96" s="502"/>
      <c r="B96" s="507"/>
      <c r="C96" s="493"/>
      <c r="D96" s="503"/>
      <c r="E96" s="484"/>
      <c r="F96" s="484"/>
      <c r="G96" s="508"/>
      <c r="H96" s="508"/>
      <c r="I96" s="507"/>
      <c r="J96" s="509"/>
    </row>
    <row r="97" spans="1:10" s="407" customFormat="1" ht="15" hidden="1">
      <c r="A97" s="502" t="s">
        <v>319</v>
      </c>
      <c r="B97" s="502"/>
      <c r="C97" s="493"/>
      <c r="D97" s="503"/>
      <c r="E97" s="503"/>
      <c r="F97" s="484"/>
      <c r="G97" s="482"/>
      <c r="H97" s="503"/>
      <c r="I97" s="507"/>
      <c r="J97" s="509"/>
    </row>
    <row r="98" spans="1:10" s="407" customFormat="1" ht="15" hidden="1">
      <c r="A98" s="502"/>
      <c r="B98" s="502"/>
      <c r="C98" s="505"/>
      <c r="D98" s="503"/>
      <c r="E98" s="503"/>
      <c r="F98" s="484"/>
      <c r="G98" s="503"/>
      <c r="H98" s="508"/>
      <c r="I98" s="507"/>
      <c r="J98" s="509"/>
    </row>
    <row r="99" spans="1:10" s="407" customFormat="1" ht="15" hidden="1">
      <c r="A99" s="502" t="s">
        <v>320</v>
      </c>
      <c r="B99" s="502"/>
      <c r="C99" s="505"/>
      <c r="D99" s="503"/>
      <c r="E99" s="503"/>
      <c r="F99" s="484"/>
      <c r="G99" s="482"/>
      <c r="H99" s="503"/>
      <c r="I99" s="507"/>
      <c r="J99" s="509"/>
    </row>
    <row r="100" spans="1:10" s="407" customFormat="1" ht="15" hidden="1">
      <c r="A100" s="502"/>
      <c r="B100" s="502"/>
      <c r="C100" s="505"/>
      <c r="D100" s="503"/>
      <c r="E100" s="503"/>
      <c r="F100" s="484"/>
      <c r="G100" s="503"/>
      <c r="H100" s="508"/>
      <c r="I100" s="507"/>
      <c r="J100" s="509"/>
    </row>
    <row r="101" spans="1:10" s="407" customFormat="1" ht="15" hidden="1">
      <c r="A101" s="502" t="s">
        <v>321</v>
      </c>
      <c r="B101" s="502"/>
      <c r="C101" s="505"/>
      <c r="D101" s="503"/>
      <c r="E101" s="503"/>
      <c r="F101" s="484"/>
      <c r="G101" s="482"/>
      <c r="H101" s="508"/>
      <c r="I101" s="507"/>
      <c r="J101" s="509"/>
    </row>
    <row r="102" spans="1:10" s="407" customFormat="1" ht="15" hidden="1">
      <c r="A102" s="502"/>
      <c r="B102" s="502"/>
      <c r="C102" s="505"/>
      <c r="D102" s="503"/>
      <c r="E102" s="503"/>
      <c r="F102" s="484"/>
      <c r="G102" s="503"/>
      <c r="H102" s="508"/>
      <c r="I102" s="507"/>
      <c r="J102" s="509"/>
    </row>
    <row r="103" spans="1:10" s="407" customFormat="1" ht="15" hidden="1">
      <c r="A103" s="502"/>
      <c r="B103" s="502"/>
      <c r="C103" s="493"/>
      <c r="D103" s="503"/>
      <c r="E103" s="503"/>
      <c r="F103" s="484"/>
      <c r="G103" s="503"/>
      <c r="H103" s="508"/>
      <c r="I103" s="507"/>
      <c r="J103" s="509"/>
    </row>
    <row r="104" spans="1:10" s="407" customFormat="1" ht="15" hidden="1">
      <c r="A104" s="502" t="s">
        <v>116</v>
      </c>
      <c r="B104" s="502"/>
      <c r="C104" s="505"/>
      <c r="D104" s="503"/>
      <c r="E104" s="503"/>
      <c r="F104" s="484"/>
      <c r="G104" s="482"/>
      <c r="H104" s="503"/>
      <c r="I104" s="507"/>
      <c r="J104" s="509"/>
    </row>
    <row r="105" spans="1:10" s="407" customFormat="1" ht="15" hidden="1">
      <c r="A105" s="502"/>
      <c r="B105" s="502"/>
      <c r="C105" s="505"/>
      <c r="D105" s="503"/>
      <c r="E105" s="503"/>
      <c r="F105" s="484"/>
      <c r="G105" s="503"/>
      <c r="H105" s="508"/>
      <c r="I105" s="507"/>
      <c r="J105" s="509"/>
    </row>
    <row r="106" spans="1:10" s="407" customFormat="1" ht="15" hidden="1">
      <c r="A106" s="502" t="s">
        <v>663</v>
      </c>
      <c r="B106" s="502"/>
      <c r="C106" s="493"/>
      <c r="D106" s="503"/>
      <c r="E106" s="503"/>
      <c r="F106" s="484"/>
      <c r="G106" s="482"/>
      <c r="H106" s="503"/>
      <c r="I106" s="507"/>
      <c r="J106" s="509"/>
    </row>
    <row r="107" spans="1:10" s="407" customFormat="1" ht="15" hidden="1">
      <c r="A107" s="502"/>
      <c r="B107" s="502"/>
      <c r="C107" s="505"/>
      <c r="D107" s="503"/>
      <c r="E107" s="503"/>
      <c r="F107" s="484"/>
      <c r="G107" s="503"/>
      <c r="H107" s="508"/>
      <c r="I107" s="507"/>
      <c r="J107" s="509"/>
    </row>
    <row r="108" spans="1:10" s="407" customFormat="1" ht="15" hidden="1">
      <c r="A108" s="502" t="s">
        <v>664</v>
      </c>
      <c r="B108" s="502"/>
      <c r="C108" s="493"/>
      <c r="D108" s="503"/>
      <c r="E108" s="503"/>
      <c r="F108" s="484"/>
      <c r="G108" s="482"/>
      <c r="H108" s="503"/>
      <c r="I108" s="507"/>
      <c r="J108" s="509"/>
    </row>
    <row r="109" spans="1:10" s="407" customFormat="1" ht="15" hidden="1">
      <c r="A109" s="502"/>
      <c r="B109" s="502"/>
      <c r="C109" s="505"/>
      <c r="D109" s="503"/>
      <c r="E109" s="503"/>
      <c r="F109" s="484"/>
      <c r="G109" s="503"/>
      <c r="H109" s="508"/>
      <c r="I109" s="507"/>
      <c r="J109" s="509"/>
    </row>
    <row r="110" spans="1:10" s="407" customFormat="1" ht="15" hidden="1">
      <c r="A110" s="502"/>
      <c r="B110" s="502"/>
      <c r="C110" s="505"/>
      <c r="D110" s="506"/>
      <c r="E110" s="503"/>
      <c r="F110" s="484"/>
      <c r="G110" s="503"/>
      <c r="H110" s="508"/>
      <c r="I110" s="507"/>
      <c r="J110" s="509"/>
    </row>
    <row r="111" spans="1:10" s="407" customFormat="1" ht="15" hidden="1">
      <c r="A111" s="502" t="s">
        <v>665</v>
      </c>
      <c r="B111" s="502"/>
      <c r="C111" s="505"/>
      <c r="D111" s="506"/>
      <c r="E111" s="503"/>
      <c r="F111" s="484"/>
      <c r="G111" s="482"/>
      <c r="H111" s="503"/>
      <c r="I111" s="507"/>
      <c r="J111" s="509"/>
    </row>
    <row r="112" spans="1:10" s="407" customFormat="1" ht="15" hidden="1">
      <c r="A112" s="502"/>
      <c r="B112" s="502"/>
      <c r="C112" s="505"/>
      <c r="D112" s="503"/>
      <c r="E112" s="503"/>
      <c r="F112" s="484"/>
      <c r="G112" s="503"/>
      <c r="H112" s="503"/>
      <c r="I112" s="507"/>
      <c r="J112" s="509"/>
    </row>
    <row r="113" spans="1:10" s="407" customFormat="1" ht="15" hidden="1">
      <c r="A113" s="502" t="s">
        <v>666</v>
      </c>
      <c r="B113" s="502"/>
      <c r="C113" s="505"/>
      <c r="D113" s="503"/>
      <c r="E113" s="503"/>
      <c r="F113" s="484"/>
      <c r="G113" s="503"/>
      <c r="H113" s="503"/>
      <c r="I113" s="507"/>
      <c r="J113" s="509"/>
    </row>
    <row r="114" spans="1:10" s="407" customFormat="1" ht="15" hidden="1">
      <c r="A114" s="502"/>
      <c r="B114" s="502"/>
      <c r="C114" s="493"/>
      <c r="D114" s="503"/>
      <c r="E114" s="503"/>
      <c r="F114" s="484"/>
      <c r="G114" s="482"/>
      <c r="H114" s="503"/>
      <c r="I114" s="507"/>
      <c r="J114" s="509"/>
    </row>
    <row r="115" spans="1:10" s="407" customFormat="1" ht="15" hidden="1">
      <c r="A115" s="502"/>
      <c r="B115" s="502"/>
      <c r="C115" s="493"/>
      <c r="D115" s="503"/>
      <c r="E115" s="503"/>
      <c r="F115" s="484"/>
      <c r="G115" s="503"/>
      <c r="H115" s="508"/>
      <c r="I115" s="507"/>
      <c r="J115" s="509"/>
    </row>
    <row r="116" spans="1:10" s="407" customFormat="1" ht="15" hidden="1">
      <c r="A116" s="502" t="s">
        <v>583</v>
      </c>
      <c r="B116" s="502"/>
      <c r="C116" s="493"/>
      <c r="D116" s="503"/>
      <c r="E116" s="503"/>
      <c r="F116" s="484"/>
      <c r="G116" s="482"/>
      <c r="H116" s="503"/>
      <c r="I116" s="507"/>
      <c r="J116" s="509"/>
    </row>
    <row r="117" spans="1:10" s="407" customFormat="1" ht="15" hidden="1">
      <c r="A117" s="502"/>
      <c r="B117" s="502"/>
      <c r="C117" s="505"/>
      <c r="D117" s="503"/>
      <c r="E117" s="503"/>
      <c r="F117" s="484"/>
      <c r="G117" s="503"/>
      <c r="H117" s="508"/>
      <c r="I117" s="507"/>
      <c r="J117" s="509"/>
    </row>
    <row r="118" spans="1:10" s="407" customFormat="1" ht="15" hidden="1">
      <c r="A118" s="502" t="s">
        <v>667</v>
      </c>
      <c r="B118" s="502"/>
      <c r="C118" s="493"/>
      <c r="D118" s="503"/>
      <c r="E118" s="503"/>
      <c r="F118" s="484"/>
      <c r="G118" s="482"/>
      <c r="H118" s="503"/>
      <c r="I118" s="507"/>
      <c r="J118" s="509"/>
    </row>
    <row r="119" spans="1:10" s="407" customFormat="1" ht="15" hidden="1">
      <c r="A119" s="502"/>
      <c r="B119" s="502"/>
      <c r="C119" s="505"/>
      <c r="D119" s="503"/>
      <c r="E119" s="503"/>
      <c r="F119" s="484"/>
      <c r="G119" s="503"/>
      <c r="H119" s="508"/>
      <c r="I119" s="507"/>
      <c r="J119" s="509"/>
    </row>
    <row r="120" spans="1:10" s="407" customFormat="1" ht="15" hidden="1">
      <c r="A120" s="502"/>
      <c r="B120" s="502"/>
      <c r="C120" s="505"/>
      <c r="D120" s="503"/>
      <c r="E120" s="503"/>
      <c r="F120" s="484"/>
      <c r="G120" s="503"/>
      <c r="H120" s="508"/>
      <c r="I120" s="507"/>
      <c r="J120" s="509"/>
    </row>
    <row r="121" spans="1:10" s="407" customFormat="1" ht="15" hidden="1">
      <c r="A121" s="502" t="s">
        <v>668</v>
      </c>
      <c r="B121" s="502"/>
      <c r="C121" s="493"/>
      <c r="D121" s="503"/>
      <c r="E121" s="503"/>
      <c r="F121" s="484"/>
      <c r="G121" s="482"/>
      <c r="H121" s="503"/>
      <c r="I121" s="507"/>
      <c r="J121" s="509"/>
    </row>
    <row r="122" spans="1:10" s="407" customFormat="1" ht="15" hidden="1">
      <c r="A122" s="502"/>
      <c r="B122" s="502"/>
      <c r="C122" s="493"/>
      <c r="D122" s="503"/>
      <c r="E122" s="503"/>
      <c r="F122" s="484"/>
      <c r="G122" s="503"/>
      <c r="H122" s="508"/>
      <c r="I122" s="507"/>
      <c r="J122" s="509"/>
    </row>
    <row r="123" spans="1:10" s="407" customFormat="1" ht="15" hidden="1">
      <c r="A123" s="502" t="s">
        <v>669</v>
      </c>
      <c r="B123" s="502"/>
      <c r="C123" s="505"/>
      <c r="D123" s="503"/>
      <c r="E123" s="503"/>
      <c r="F123" s="484"/>
      <c r="G123" s="482"/>
      <c r="H123" s="503"/>
      <c r="I123" s="507"/>
      <c r="J123" s="509"/>
    </row>
    <row r="124" spans="1:10" s="407" customFormat="1" ht="15" hidden="1">
      <c r="A124" s="502"/>
      <c r="B124" s="502"/>
      <c r="C124" s="493"/>
      <c r="D124" s="506"/>
      <c r="E124" s="503"/>
      <c r="F124" s="484"/>
      <c r="G124" s="503"/>
      <c r="H124" s="508"/>
      <c r="I124" s="507"/>
      <c r="J124" s="509"/>
    </row>
    <row r="125" spans="1:10" s="407" customFormat="1" ht="15" hidden="1">
      <c r="A125" s="502" t="s">
        <v>670</v>
      </c>
      <c r="B125" s="502"/>
      <c r="C125" s="493"/>
      <c r="D125" s="506"/>
      <c r="E125" s="503"/>
      <c r="F125" s="484"/>
      <c r="G125" s="503"/>
      <c r="H125" s="508"/>
      <c r="I125" s="507"/>
      <c r="J125" s="509"/>
    </row>
    <row r="126" spans="1:10" s="407" customFormat="1" ht="15" hidden="1">
      <c r="A126" s="502"/>
      <c r="B126" s="502"/>
      <c r="C126" s="505"/>
      <c r="D126" s="506"/>
      <c r="E126" s="503"/>
      <c r="F126" s="484"/>
      <c r="G126" s="482"/>
      <c r="H126" s="503"/>
      <c r="I126" s="507"/>
      <c r="J126" s="509"/>
    </row>
    <row r="127" spans="1:10" s="407" customFormat="1" ht="15" hidden="1">
      <c r="A127" s="502"/>
      <c r="B127" s="502"/>
      <c r="C127" s="505"/>
      <c r="D127" s="503"/>
      <c r="E127" s="503"/>
      <c r="F127" s="484"/>
      <c r="G127" s="503"/>
      <c r="H127" s="508"/>
      <c r="I127" s="507"/>
      <c r="J127" s="509"/>
    </row>
    <row r="128" spans="1:10" s="407" customFormat="1" ht="15" hidden="1">
      <c r="A128" s="502" t="s">
        <v>770</v>
      </c>
      <c r="B128" s="502"/>
      <c r="C128" s="505"/>
      <c r="D128" s="503"/>
      <c r="E128" s="503"/>
      <c r="F128" s="484"/>
      <c r="G128" s="482"/>
      <c r="H128" s="503"/>
      <c r="I128" s="507"/>
      <c r="J128" s="509"/>
    </row>
    <row r="129" spans="1:10" s="407" customFormat="1" ht="15" hidden="1">
      <c r="A129" s="502"/>
      <c r="B129" s="502"/>
      <c r="C129" s="493"/>
      <c r="D129" s="503"/>
      <c r="E129" s="503"/>
      <c r="F129" s="484"/>
      <c r="G129" s="503"/>
      <c r="H129" s="508"/>
      <c r="I129" s="507"/>
      <c r="J129" s="509"/>
    </row>
    <row r="130" spans="1:10" s="407" customFormat="1" ht="15" hidden="1">
      <c r="A130" s="502" t="s">
        <v>671</v>
      </c>
      <c r="B130" s="502"/>
      <c r="C130" s="505"/>
      <c r="D130" s="503"/>
      <c r="E130" s="503"/>
      <c r="F130" s="484"/>
      <c r="G130" s="482"/>
      <c r="H130" s="503"/>
      <c r="I130" s="507"/>
      <c r="J130" s="509"/>
    </row>
    <row r="131" spans="1:10" s="407" customFormat="1" ht="15" hidden="1">
      <c r="A131" s="502"/>
      <c r="B131" s="502"/>
      <c r="C131" s="505"/>
      <c r="D131" s="503"/>
      <c r="E131" s="503"/>
      <c r="F131" s="484"/>
      <c r="G131" s="503"/>
      <c r="H131" s="508"/>
      <c r="I131" s="507"/>
      <c r="J131" s="509"/>
    </row>
    <row r="132" spans="1:10" s="407" customFormat="1" ht="15" hidden="1">
      <c r="A132" s="502" t="s">
        <v>672</v>
      </c>
      <c r="B132" s="502"/>
      <c r="C132" s="493"/>
      <c r="D132" s="503"/>
      <c r="E132" s="503"/>
      <c r="F132" s="484"/>
      <c r="G132" s="482"/>
      <c r="H132" s="503"/>
      <c r="I132" s="507"/>
      <c r="J132" s="509"/>
    </row>
    <row r="133" spans="1:10" s="407" customFormat="1" ht="15" hidden="1">
      <c r="A133" s="502"/>
      <c r="B133" s="502"/>
      <c r="C133" s="505"/>
      <c r="D133" s="506"/>
      <c r="E133" s="503"/>
      <c r="F133" s="484"/>
      <c r="G133" s="503"/>
      <c r="H133" s="508"/>
      <c r="I133" s="507"/>
      <c r="J133" s="509"/>
    </row>
    <row r="134" spans="1:10" s="407" customFormat="1" ht="15" hidden="1">
      <c r="A134" s="502"/>
      <c r="B134" s="502"/>
      <c r="C134" s="505"/>
      <c r="D134" s="503"/>
      <c r="E134" s="503"/>
      <c r="F134" s="484"/>
      <c r="G134" s="503"/>
      <c r="H134" s="508"/>
      <c r="I134" s="507"/>
      <c r="J134" s="509"/>
    </row>
    <row r="135" spans="1:10" s="407" customFormat="1" ht="15" hidden="1">
      <c r="A135" s="502" t="s">
        <v>673</v>
      </c>
      <c r="B135" s="502"/>
      <c r="C135" s="493"/>
      <c r="D135" s="503"/>
      <c r="E135" s="503"/>
      <c r="F135" s="484"/>
      <c r="G135" s="482"/>
      <c r="H135" s="503"/>
      <c r="I135" s="507"/>
      <c r="J135" s="509"/>
    </row>
    <row r="136" spans="1:10" s="407" customFormat="1" ht="15" hidden="1">
      <c r="A136" s="502"/>
      <c r="B136" s="502"/>
      <c r="C136" s="505"/>
      <c r="D136" s="503"/>
      <c r="E136" s="503"/>
      <c r="F136" s="484"/>
      <c r="G136" s="503"/>
      <c r="H136" s="508"/>
      <c r="I136" s="507"/>
      <c r="J136" s="509"/>
    </row>
    <row r="137" spans="1:10" s="407" customFormat="1" ht="15" hidden="1">
      <c r="A137" s="502" t="s">
        <v>674</v>
      </c>
      <c r="B137" s="502"/>
      <c r="C137" s="505"/>
      <c r="D137" s="503"/>
      <c r="E137" s="503"/>
      <c r="F137" s="484"/>
      <c r="G137" s="482"/>
      <c r="H137" s="503"/>
      <c r="I137" s="507"/>
      <c r="J137" s="509"/>
    </row>
    <row r="138" spans="1:10" s="407" customFormat="1" ht="15" hidden="1">
      <c r="A138" s="502"/>
      <c r="B138" s="502"/>
      <c r="C138" s="493"/>
      <c r="D138" s="503"/>
      <c r="E138" s="503"/>
      <c r="F138" s="484"/>
      <c r="G138" s="503"/>
      <c r="H138" s="508"/>
      <c r="I138" s="507"/>
      <c r="J138" s="509"/>
    </row>
    <row r="139" spans="1:10" s="407" customFormat="1" ht="15" hidden="1">
      <c r="A139" s="502" t="s">
        <v>675</v>
      </c>
      <c r="B139" s="502"/>
      <c r="C139" s="493"/>
      <c r="D139" s="503"/>
      <c r="E139" s="503"/>
      <c r="F139" s="484"/>
      <c r="G139" s="482"/>
      <c r="H139" s="503"/>
      <c r="I139" s="507"/>
      <c r="J139" s="509"/>
    </row>
    <row r="140" spans="1:10" s="407" customFormat="1" ht="15" hidden="1">
      <c r="A140" s="502"/>
      <c r="B140" s="502"/>
      <c r="C140" s="505"/>
      <c r="D140" s="503"/>
      <c r="E140" s="503"/>
      <c r="F140" s="484"/>
      <c r="G140" s="503"/>
      <c r="H140" s="503"/>
      <c r="I140" s="507"/>
      <c r="J140" s="509"/>
    </row>
    <row r="141" spans="1:10" s="407" customFormat="1" ht="15" hidden="1">
      <c r="A141" s="502"/>
      <c r="B141" s="502"/>
      <c r="C141" s="505"/>
      <c r="D141" s="503"/>
      <c r="E141" s="503"/>
      <c r="F141" s="484"/>
      <c r="G141" s="503"/>
      <c r="H141" s="508"/>
      <c r="I141" s="507"/>
      <c r="J141" s="509"/>
    </row>
    <row r="142" spans="1:10" s="407" customFormat="1" ht="15" hidden="1">
      <c r="A142" s="502" t="s">
        <v>676</v>
      </c>
      <c r="B142" s="502"/>
      <c r="C142" s="493"/>
      <c r="D142" s="503"/>
      <c r="E142" s="503"/>
      <c r="F142" s="484"/>
      <c r="G142" s="482"/>
      <c r="H142" s="503"/>
      <c r="I142" s="507"/>
      <c r="J142" s="509"/>
    </row>
    <row r="143" spans="1:10" s="407" customFormat="1" ht="15" hidden="1">
      <c r="A143" s="502"/>
      <c r="B143" s="502"/>
      <c r="C143" s="493"/>
      <c r="D143" s="503"/>
      <c r="E143" s="503"/>
      <c r="F143" s="484"/>
      <c r="G143" s="503"/>
      <c r="H143" s="508"/>
      <c r="I143" s="507"/>
      <c r="J143" s="509"/>
    </row>
    <row r="144" spans="1:10" s="407" customFormat="1" ht="15" hidden="1">
      <c r="A144" s="502" t="s">
        <v>771</v>
      </c>
      <c r="B144" s="502"/>
      <c r="C144" s="505"/>
      <c r="D144" s="503"/>
      <c r="E144" s="503"/>
      <c r="F144" s="484"/>
      <c r="G144" s="482"/>
      <c r="H144" s="503"/>
      <c r="I144" s="507"/>
      <c r="J144" s="509"/>
    </row>
    <row r="145" spans="1:10" s="407" customFormat="1" ht="15" hidden="1">
      <c r="A145" s="502"/>
      <c r="B145" s="502"/>
      <c r="C145" s="493"/>
      <c r="D145" s="503"/>
      <c r="E145" s="503"/>
      <c r="F145" s="484"/>
      <c r="G145" s="503"/>
      <c r="H145" s="508"/>
      <c r="I145" s="507"/>
      <c r="J145" s="509"/>
    </row>
    <row r="146" spans="1:10" s="407" customFormat="1" ht="15" hidden="1">
      <c r="A146" s="502"/>
      <c r="B146" s="502"/>
      <c r="C146" s="493"/>
      <c r="D146" s="503"/>
      <c r="E146" s="503"/>
      <c r="F146" s="484"/>
      <c r="G146" s="503"/>
      <c r="H146" s="508"/>
      <c r="I146" s="507"/>
      <c r="J146" s="509"/>
    </row>
    <row r="147" spans="1:10" s="407" customFormat="1" ht="15" hidden="1">
      <c r="A147" s="502" t="s">
        <v>677</v>
      </c>
      <c r="B147" s="502"/>
      <c r="C147" s="493"/>
      <c r="D147" s="503"/>
      <c r="E147" s="503"/>
      <c r="F147" s="484"/>
      <c r="G147" s="482"/>
      <c r="H147" s="503"/>
      <c r="I147" s="507"/>
      <c r="J147" s="509"/>
    </row>
    <row r="148" spans="1:10" s="407" customFormat="1" ht="15" hidden="1">
      <c r="A148" s="502"/>
      <c r="B148" s="502"/>
      <c r="C148" s="505"/>
      <c r="D148" s="503"/>
      <c r="E148" s="503"/>
      <c r="F148" s="484"/>
      <c r="G148" s="503"/>
      <c r="H148" s="508"/>
      <c r="I148" s="507"/>
      <c r="J148" s="509"/>
    </row>
    <row r="149" spans="1:10" s="407" customFormat="1" ht="15" hidden="1">
      <c r="A149" s="502" t="s">
        <v>678</v>
      </c>
      <c r="B149" s="502"/>
      <c r="C149" s="505"/>
      <c r="D149" s="503"/>
      <c r="E149" s="503"/>
      <c r="F149" s="484"/>
      <c r="G149" s="482"/>
      <c r="H149" s="503"/>
      <c r="I149" s="507"/>
      <c r="J149" s="509"/>
    </row>
    <row r="150" spans="1:10" s="407" customFormat="1" ht="15" hidden="1">
      <c r="A150" s="502"/>
      <c r="B150" s="502"/>
      <c r="C150" s="493"/>
      <c r="D150" s="503"/>
      <c r="E150" s="503"/>
      <c r="F150" s="484"/>
      <c r="G150" s="503"/>
      <c r="H150" s="508"/>
      <c r="I150" s="507"/>
      <c r="J150" s="509"/>
    </row>
    <row r="151" spans="1:10" s="407" customFormat="1" ht="15" hidden="1">
      <c r="A151" s="502"/>
      <c r="B151" s="502"/>
      <c r="C151" s="505"/>
      <c r="D151" s="503"/>
      <c r="E151" s="503"/>
      <c r="F151" s="484"/>
      <c r="G151" s="503"/>
      <c r="H151" s="508"/>
      <c r="I151" s="507"/>
      <c r="J151" s="509"/>
    </row>
    <row r="152" spans="1:10" s="407" customFormat="1" ht="15" hidden="1">
      <c r="A152" s="502" t="s">
        <v>710</v>
      </c>
      <c r="B152" s="502"/>
      <c r="C152" s="505"/>
      <c r="D152" s="503"/>
      <c r="E152" s="503"/>
      <c r="F152" s="484"/>
      <c r="G152" s="482"/>
      <c r="H152" s="503"/>
      <c r="I152" s="507"/>
      <c r="J152" s="509"/>
    </row>
    <row r="153" spans="1:10" s="407" customFormat="1" ht="15" hidden="1">
      <c r="A153" s="502"/>
      <c r="B153" s="502"/>
      <c r="C153" s="505"/>
      <c r="D153" s="503"/>
      <c r="E153" s="503"/>
      <c r="F153" s="484"/>
      <c r="G153" s="503"/>
      <c r="H153" s="508"/>
      <c r="I153" s="507"/>
      <c r="J153" s="509"/>
    </row>
    <row r="154" spans="1:10" s="407" customFormat="1" ht="15" hidden="1">
      <c r="A154" s="502" t="s">
        <v>711</v>
      </c>
      <c r="B154" s="502"/>
      <c r="C154" s="505"/>
      <c r="D154" s="503"/>
      <c r="E154" s="503"/>
      <c r="F154" s="484"/>
      <c r="G154" s="482"/>
      <c r="H154" s="503"/>
      <c r="I154" s="507"/>
      <c r="J154" s="509"/>
    </row>
    <row r="155" spans="1:10" s="407" customFormat="1" ht="15" hidden="1">
      <c r="A155" s="502"/>
      <c r="B155" s="502"/>
      <c r="C155" s="505"/>
      <c r="D155" s="503"/>
      <c r="E155" s="503"/>
      <c r="F155" s="484"/>
      <c r="G155" s="503"/>
      <c r="H155" s="508"/>
      <c r="I155" s="507"/>
      <c r="J155" s="509"/>
    </row>
    <row r="156" spans="1:10" s="407" customFormat="1" ht="15" hidden="1">
      <c r="A156" s="502" t="s">
        <v>712</v>
      </c>
      <c r="B156" s="502"/>
      <c r="C156" s="493"/>
      <c r="D156" s="503"/>
      <c r="E156" s="503"/>
      <c r="F156" s="484"/>
      <c r="G156" s="503"/>
      <c r="H156" s="508"/>
      <c r="I156" s="507"/>
      <c r="J156" s="509"/>
    </row>
    <row r="157" spans="1:10" s="407" customFormat="1" ht="15" hidden="1">
      <c r="A157" s="502"/>
      <c r="B157" s="502"/>
      <c r="C157" s="505"/>
      <c r="D157" s="503"/>
      <c r="E157" s="503"/>
      <c r="F157" s="484"/>
      <c r="G157" s="482"/>
      <c r="H157" s="503"/>
      <c r="I157" s="507"/>
      <c r="J157" s="509"/>
    </row>
    <row r="158" spans="1:10" s="407" customFormat="1" ht="15" hidden="1">
      <c r="A158" s="502"/>
      <c r="B158" s="502"/>
      <c r="C158" s="493"/>
      <c r="D158" s="503"/>
      <c r="E158" s="503"/>
      <c r="F158" s="484"/>
      <c r="G158" s="503"/>
      <c r="H158" s="508"/>
      <c r="I158" s="507"/>
      <c r="J158" s="509"/>
    </row>
    <row r="159" spans="1:10" s="407" customFormat="1" ht="15" hidden="1">
      <c r="A159" s="502" t="s">
        <v>679</v>
      </c>
      <c r="B159" s="502"/>
      <c r="C159" s="493"/>
      <c r="D159" s="503"/>
      <c r="E159" s="503"/>
      <c r="F159" s="484"/>
      <c r="G159" s="482"/>
      <c r="H159" s="503"/>
      <c r="I159" s="507"/>
      <c r="J159" s="509"/>
    </row>
    <row r="160" spans="1:10" s="407" customFormat="1" ht="15" hidden="1">
      <c r="A160" s="502"/>
      <c r="B160" s="502"/>
      <c r="C160" s="505"/>
      <c r="D160" s="503"/>
      <c r="E160" s="503"/>
      <c r="F160" s="484"/>
      <c r="G160" s="503"/>
      <c r="H160" s="508"/>
      <c r="I160" s="507"/>
      <c r="J160" s="509"/>
    </row>
    <row r="161" spans="1:10" s="407" customFormat="1" ht="15" hidden="1">
      <c r="A161" s="502" t="s">
        <v>680</v>
      </c>
      <c r="B161" s="502"/>
      <c r="C161" s="493"/>
      <c r="D161" s="503"/>
      <c r="E161" s="503"/>
      <c r="F161" s="484"/>
      <c r="G161" s="482"/>
      <c r="H161" s="503"/>
      <c r="I161" s="507"/>
      <c r="J161" s="509"/>
    </row>
    <row r="162" spans="1:10" s="407" customFormat="1" ht="15" hidden="1">
      <c r="A162" s="502"/>
      <c r="B162" s="502"/>
      <c r="C162" s="505"/>
      <c r="D162" s="503"/>
      <c r="E162" s="503"/>
      <c r="F162" s="484"/>
      <c r="G162" s="503"/>
      <c r="H162" s="508"/>
      <c r="I162" s="507"/>
      <c r="J162" s="509"/>
    </row>
    <row r="163" spans="1:10" s="407" customFormat="1" ht="15" hidden="1">
      <c r="A163" s="502" t="s">
        <v>681</v>
      </c>
      <c r="B163" s="502"/>
      <c r="C163" s="505"/>
      <c r="D163" s="503"/>
      <c r="E163" s="503"/>
      <c r="F163" s="484"/>
      <c r="G163" s="482"/>
      <c r="H163" s="503"/>
      <c r="I163" s="507"/>
      <c r="J163" s="509"/>
    </row>
    <row r="164" spans="1:10" s="407" customFormat="1" ht="15" hidden="1">
      <c r="A164" s="502"/>
      <c r="B164" s="502"/>
      <c r="C164" s="493"/>
      <c r="D164" s="503"/>
      <c r="E164" s="503"/>
      <c r="F164" s="484"/>
      <c r="G164" s="503"/>
      <c r="H164" s="508"/>
      <c r="I164" s="507"/>
      <c r="J164" s="509"/>
    </row>
    <row r="165" spans="1:10" s="407" customFormat="1" ht="15" hidden="1">
      <c r="A165" s="502"/>
      <c r="B165" s="502"/>
      <c r="C165" s="493"/>
      <c r="D165" s="503"/>
      <c r="E165" s="503"/>
      <c r="F165" s="484"/>
      <c r="G165" s="503"/>
      <c r="H165" s="508"/>
      <c r="I165" s="507"/>
      <c r="J165" s="509"/>
    </row>
    <row r="166" spans="1:10" s="407" customFormat="1" ht="15" hidden="1">
      <c r="A166" s="502" t="s">
        <v>682</v>
      </c>
      <c r="B166" s="502"/>
      <c r="C166" s="493"/>
      <c r="D166" s="503"/>
      <c r="E166" s="503"/>
      <c r="F166" s="484"/>
      <c r="G166" s="482"/>
      <c r="H166" s="503"/>
      <c r="I166" s="507"/>
      <c r="J166" s="509"/>
    </row>
    <row r="167" spans="1:10" s="407" customFormat="1" ht="15" hidden="1">
      <c r="A167" s="502"/>
      <c r="B167" s="502"/>
      <c r="C167" s="505"/>
      <c r="D167" s="503"/>
      <c r="E167" s="503"/>
      <c r="F167" s="484"/>
      <c r="G167" s="503"/>
      <c r="H167" s="508"/>
      <c r="I167" s="507"/>
      <c r="J167" s="509"/>
    </row>
    <row r="168" spans="1:10" s="407" customFormat="1" ht="15" hidden="1">
      <c r="A168" s="502" t="s">
        <v>772</v>
      </c>
      <c r="B168" s="502"/>
      <c r="C168" s="493"/>
      <c r="D168" s="503"/>
      <c r="E168" s="503"/>
      <c r="F168" s="484"/>
      <c r="G168" s="482"/>
      <c r="H168" s="503"/>
      <c r="I168" s="507"/>
      <c r="J168" s="509"/>
    </row>
    <row r="169" spans="1:10" s="407" customFormat="1" ht="15" hidden="1">
      <c r="A169" s="502"/>
      <c r="B169" s="502"/>
      <c r="C169" s="493"/>
      <c r="D169" s="503"/>
      <c r="E169" s="503"/>
      <c r="F169" s="484"/>
      <c r="G169" s="503"/>
      <c r="H169" s="508"/>
      <c r="I169" s="507"/>
      <c r="J169" s="509"/>
    </row>
    <row r="170" spans="1:10" s="407" customFormat="1" ht="15" hidden="1">
      <c r="A170" s="502" t="s">
        <v>683</v>
      </c>
      <c r="B170" s="502"/>
      <c r="C170" s="493"/>
      <c r="D170" s="503"/>
      <c r="E170" s="503"/>
      <c r="F170" s="484"/>
      <c r="G170" s="482"/>
      <c r="H170" s="508"/>
      <c r="I170" s="507"/>
      <c r="J170" s="509"/>
    </row>
    <row r="171" spans="1:10" s="407" customFormat="1" ht="15" hidden="1">
      <c r="A171" s="502"/>
      <c r="B171" s="502"/>
      <c r="C171" s="493"/>
      <c r="D171" s="503"/>
      <c r="E171" s="503"/>
      <c r="F171" s="484"/>
      <c r="G171" s="503"/>
      <c r="H171" s="508"/>
      <c r="I171" s="507"/>
      <c r="J171" s="509"/>
    </row>
    <row r="172" spans="1:10" s="407" customFormat="1" ht="15" hidden="1">
      <c r="A172" s="502"/>
      <c r="B172" s="502"/>
      <c r="C172" s="505"/>
      <c r="D172" s="503"/>
      <c r="E172" s="503"/>
      <c r="F172" s="484"/>
      <c r="G172" s="503"/>
      <c r="H172" s="508"/>
      <c r="I172" s="507"/>
      <c r="J172" s="509"/>
    </row>
    <row r="173" spans="1:10" s="407" customFormat="1" ht="15" hidden="1">
      <c r="A173" s="502" t="s">
        <v>773</v>
      </c>
      <c r="B173" s="502"/>
      <c r="C173" s="493"/>
      <c r="D173" s="503"/>
      <c r="E173" s="503"/>
      <c r="F173" s="484"/>
      <c r="G173" s="482"/>
      <c r="H173" s="503"/>
      <c r="I173" s="507"/>
      <c r="J173" s="509"/>
    </row>
    <row r="174" spans="1:10" s="407" customFormat="1" ht="15" hidden="1">
      <c r="A174" s="502"/>
      <c r="B174" s="502"/>
      <c r="C174" s="505"/>
      <c r="D174" s="503"/>
      <c r="E174" s="503"/>
      <c r="F174" s="484"/>
      <c r="G174" s="503"/>
      <c r="H174" s="508"/>
      <c r="I174" s="507"/>
      <c r="J174" s="509"/>
    </row>
    <row r="175" spans="1:10" s="407" customFormat="1" ht="15" hidden="1">
      <c r="A175" s="502" t="s">
        <v>684</v>
      </c>
      <c r="B175" s="502"/>
      <c r="C175" s="493"/>
      <c r="D175" s="503"/>
      <c r="E175" s="503"/>
      <c r="F175" s="484"/>
      <c r="G175" s="482"/>
      <c r="H175" s="508"/>
      <c r="I175" s="507"/>
      <c r="J175" s="509"/>
    </row>
    <row r="176" spans="1:10" s="407" customFormat="1" ht="15" hidden="1">
      <c r="A176" s="502"/>
      <c r="B176" s="502"/>
      <c r="C176" s="493"/>
      <c r="D176" s="503"/>
      <c r="E176" s="503"/>
      <c r="F176" s="484"/>
      <c r="G176" s="503"/>
      <c r="H176" s="508"/>
      <c r="I176" s="507"/>
      <c r="J176" s="509"/>
    </row>
    <row r="177" spans="1:10" s="407" customFormat="1" ht="15" hidden="1">
      <c r="A177" s="502" t="s">
        <v>686</v>
      </c>
      <c r="B177" s="502"/>
      <c r="C177" s="505"/>
      <c r="D177" s="503"/>
      <c r="E177" s="503"/>
      <c r="F177" s="484"/>
      <c r="G177" s="482"/>
      <c r="H177" s="503"/>
      <c r="I177" s="507"/>
      <c r="J177" s="509"/>
    </row>
    <row r="178" spans="1:10" s="407" customFormat="1" ht="15" hidden="1">
      <c r="A178" s="502"/>
      <c r="B178" s="502"/>
      <c r="C178" s="493"/>
      <c r="D178" s="503"/>
      <c r="E178" s="503"/>
      <c r="F178" s="484"/>
      <c r="G178" s="503"/>
      <c r="H178" s="503"/>
      <c r="I178" s="507"/>
      <c r="J178" s="509"/>
    </row>
    <row r="179" spans="1:10" s="407" customFormat="1" ht="15" hidden="1">
      <c r="A179" s="502"/>
      <c r="B179" s="502"/>
      <c r="C179" s="505"/>
      <c r="D179" s="503"/>
      <c r="E179" s="503"/>
      <c r="F179" s="484"/>
      <c r="G179" s="503"/>
      <c r="H179" s="508"/>
      <c r="I179" s="507"/>
      <c r="J179" s="509"/>
    </row>
    <row r="180" spans="1:10" s="407" customFormat="1" ht="15" hidden="1">
      <c r="A180" s="502" t="s">
        <v>687</v>
      </c>
      <c r="B180" s="502"/>
      <c r="C180" s="505"/>
      <c r="D180" s="503"/>
      <c r="E180" s="503"/>
      <c r="F180" s="484"/>
      <c r="G180" s="482"/>
      <c r="H180" s="503"/>
      <c r="I180" s="507"/>
      <c r="J180" s="509"/>
    </row>
    <row r="181" spans="1:10" s="407" customFormat="1" ht="15" hidden="1">
      <c r="A181" s="502"/>
      <c r="B181" s="502"/>
      <c r="C181" s="493"/>
      <c r="D181" s="503"/>
      <c r="E181" s="503"/>
      <c r="F181" s="484"/>
      <c r="G181" s="503"/>
      <c r="H181" s="508"/>
      <c r="I181" s="507"/>
      <c r="J181" s="509"/>
    </row>
    <row r="182" spans="1:10" s="407" customFormat="1" ht="15" hidden="1">
      <c r="A182" s="502" t="s">
        <v>346</v>
      </c>
      <c r="B182" s="502"/>
      <c r="C182" s="505"/>
      <c r="D182" s="503"/>
      <c r="E182" s="503"/>
      <c r="F182" s="484"/>
      <c r="G182" s="482"/>
      <c r="H182" s="503"/>
      <c r="I182" s="507"/>
      <c r="J182" s="509"/>
    </row>
    <row r="183" spans="1:10" s="407" customFormat="1" ht="15" hidden="1">
      <c r="A183" s="502"/>
      <c r="B183" s="502"/>
      <c r="C183" s="505"/>
      <c r="D183" s="503"/>
      <c r="E183" s="503"/>
      <c r="F183" s="484"/>
      <c r="G183" s="503"/>
      <c r="H183" s="508"/>
      <c r="I183" s="507"/>
      <c r="J183" s="509"/>
    </row>
    <row r="184" spans="1:10" s="407" customFormat="1" ht="15" hidden="1">
      <c r="A184" s="502" t="s">
        <v>688</v>
      </c>
      <c r="B184" s="502"/>
      <c r="C184" s="493"/>
      <c r="D184" s="503"/>
      <c r="E184" s="503"/>
      <c r="F184" s="484"/>
      <c r="G184" s="482"/>
      <c r="H184" s="503"/>
      <c r="I184" s="507"/>
      <c r="J184" s="509"/>
    </row>
    <row r="185" spans="1:10" s="407" customFormat="1" ht="15" hidden="1">
      <c r="A185" s="502"/>
      <c r="B185" s="502"/>
      <c r="C185" s="505"/>
      <c r="D185" s="503"/>
      <c r="E185" s="503"/>
      <c r="F185" s="484"/>
      <c r="G185" s="503"/>
      <c r="H185" s="508"/>
      <c r="I185" s="507"/>
      <c r="J185" s="509"/>
    </row>
    <row r="186" spans="1:10" s="407" customFormat="1" ht="15" hidden="1">
      <c r="A186" s="502"/>
      <c r="B186" s="502"/>
      <c r="C186" s="493"/>
      <c r="D186" s="503"/>
      <c r="E186" s="503"/>
      <c r="F186" s="484"/>
      <c r="G186" s="503"/>
      <c r="H186" s="508"/>
      <c r="I186" s="507"/>
      <c r="J186" s="509"/>
    </row>
    <row r="187" spans="1:10" s="407" customFormat="1" ht="15" hidden="1">
      <c r="A187" s="502" t="s">
        <v>689</v>
      </c>
      <c r="B187" s="502"/>
      <c r="C187" s="505"/>
      <c r="D187" s="503"/>
      <c r="E187" s="503"/>
      <c r="F187" s="484"/>
      <c r="G187" s="482"/>
      <c r="H187" s="503"/>
      <c r="I187" s="507"/>
      <c r="J187" s="509"/>
    </row>
    <row r="188" spans="1:10" s="407" customFormat="1" ht="15" hidden="1">
      <c r="A188" s="502"/>
      <c r="B188" s="502"/>
      <c r="C188" s="505"/>
      <c r="D188" s="503"/>
      <c r="E188" s="503"/>
      <c r="F188" s="484"/>
      <c r="G188" s="503"/>
      <c r="H188" s="508"/>
      <c r="I188" s="507"/>
      <c r="J188" s="509"/>
    </row>
    <row r="189" spans="1:10" s="407" customFormat="1" ht="15" hidden="1">
      <c r="A189" s="502" t="s">
        <v>775</v>
      </c>
      <c r="B189" s="502"/>
      <c r="C189" s="505"/>
      <c r="D189" s="503"/>
      <c r="E189" s="503"/>
      <c r="F189" s="484"/>
      <c r="G189" s="482"/>
      <c r="H189" s="503"/>
      <c r="I189" s="507"/>
      <c r="J189" s="509"/>
    </row>
    <row r="190" spans="1:10" s="407" customFormat="1" ht="15" hidden="1">
      <c r="A190" s="502"/>
      <c r="B190" s="502"/>
      <c r="C190" s="493"/>
      <c r="D190" s="503"/>
      <c r="E190" s="503"/>
      <c r="F190" s="484"/>
      <c r="G190" s="503"/>
      <c r="H190" s="508"/>
      <c r="I190" s="507"/>
      <c r="J190" s="509"/>
    </row>
    <row r="191" spans="1:10" s="407" customFormat="1" ht="15" hidden="1">
      <c r="A191" s="502" t="s">
        <v>776</v>
      </c>
      <c r="B191" s="502"/>
      <c r="C191" s="505"/>
      <c r="D191" s="503"/>
      <c r="E191" s="503"/>
      <c r="F191" s="484"/>
      <c r="G191" s="482"/>
      <c r="H191" s="503"/>
      <c r="I191" s="507"/>
      <c r="J191" s="509"/>
    </row>
    <row r="192" spans="1:10" s="407" customFormat="1" ht="15" hidden="1">
      <c r="A192" s="502"/>
      <c r="B192" s="502"/>
      <c r="C192" s="493"/>
      <c r="D192" s="503"/>
      <c r="E192" s="503"/>
      <c r="F192" s="484"/>
      <c r="G192" s="503"/>
      <c r="H192" s="508"/>
      <c r="I192" s="507"/>
      <c r="J192" s="509"/>
    </row>
    <row r="193" spans="1:10" s="407" customFormat="1" ht="15" hidden="1">
      <c r="A193" s="502"/>
      <c r="B193" s="502"/>
      <c r="C193" s="493"/>
      <c r="D193" s="503"/>
      <c r="E193" s="503"/>
      <c r="F193" s="484"/>
      <c r="G193" s="503"/>
      <c r="H193" s="508"/>
      <c r="I193" s="507"/>
      <c r="J193" s="509"/>
    </row>
    <row r="194" spans="1:10" s="407" customFormat="1" ht="15" hidden="1">
      <c r="A194" s="502" t="s">
        <v>690</v>
      </c>
      <c r="B194" s="502"/>
      <c r="C194" s="505"/>
      <c r="D194" s="506"/>
      <c r="E194" s="503"/>
      <c r="F194" s="484"/>
      <c r="G194" s="482"/>
      <c r="H194" s="503"/>
      <c r="I194" s="507"/>
      <c r="J194" s="509"/>
    </row>
    <row r="195" spans="1:10" s="407" customFormat="1" ht="15" hidden="1">
      <c r="A195" s="502"/>
      <c r="B195" s="502"/>
      <c r="C195" s="505"/>
      <c r="D195" s="503"/>
      <c r="E195" s="503"/>
      <c r="F195" s="484"/>
      <c r="G195" s="503"/>
      <c r="H195" s="503"/>
      <c r="I195" s="507"/>
      <c r="J195" s="509"/>
    </row>
    <row r="196" spans="1:10" s="407" customFormat="1" ht="15" hidden="1">
      <c r="A196" s="502" t="s">
        <v>691</v>
      </c>
      <c r="B196" s="502"/>
      <c r="C196" s="505"/>
      <c r="D196" s="503"/>
      <c r="E196" s="503"/>
      <c r="F196" s="484"/>
      <c r="G196" s="503"/>
      <c r="H196" s="503"/>
      <c r="I196" s="507"/>
      <c r="J196" s="509"/>
    </row>
    <row r="197" spans="1:10" s="407" customFormat="1" ht="15" hidden="1">
      <c r="A197" s="502"/>
      <c r="B197" s="502"/>
      <c r="C197" s="493"/>
      <c r="D197" s="503"/>
      <c r="E197" s="503"/>
      <c r="F197" s="484"/>
      <c r="G197" s="482"/>
      <c r="H197" s="503"/>
      <c r="I197" s="507"/>
      <c r="J197" s="509"/>
    </row>
    <row r="198" spans="1:10" s="407" customFormat="1" ht="15" hidden="1">
      <c r="A198" s="502"/>
      <c r="B198" s="502"/>
      <c r="C198" s="505"/>
      <c r="D198" s="503"/>
      <c r="E198" s="503"/>
      <c r="F198" s="484"/>
      <c r="G198" s="503"/>
      <c r="H198" s="508"/>
      <c r="I198" s="507"/>
      <c r="J198" s="509"/>
    </row>
    <row r="199" spans="1:10" s="407" customFormat="1" ht="15" hidden="1">
      <c r="A199" s="502" t="s">
        <v>117</v>
      </c>
      <c r="B199" s="502"/>
      <c r="C199" s="493"/>
      <c r="D199" s="503"/>
      <c r="E199" s="503"/>
      <c r="F199" s="484"/>
      <c r="G199" s="482"/>
      <c r="H199" s="503"/>
      <c r="I199" s="507"/>
      <c r="J199" s="509"/>
    </row>
    <row r="200" spans="1:10" s="407" customFormat="1" ht="15" hidden="1">
      <c r="A200" s="502"/>
      <c r="B200" s="502"/>
      <c r="C200" s="505"/>
      <c r="D200" s="503"/>
      <c r="E200" s="503"/>
      <c r="F200" s="484"/>
      <c r="G200" s="503"/>
      <c r="H200" s="508"/>
      <c r="I200" s="507"/>
      <c r="J200" s="509"/>
    </row>
    <row r="201" spans="1:10" s="407" customFormat="1" ht="15" hidden="1">
      <c r="A201" s="502" t="s">
        <v>692</v>
      </c>
      <c r="B201" s="502"/>
      <c r="C201" s="493"/>
      <c r="D201" s="503"/>
      <c r="E201" s="503"/>
      <c r="F201" s="484"/>
      <c r="G201" s="482"/>
      <c r="H201" s="508"/>
      <c r="I201" s="507"/>
      <c r="J201" s="509"/>
    </row>
    <row r="202" spans="1:10" s="407" customFormat="1" ht="15" hidden="1">
      <c r="A202" s="502"/>
      <c r="B202" s="502"/>
      <c r="C202" s="493"/>
      <c r="D202" s="503"/>
      <c r="E202" s="503"/>
      <c r="F202" s="484"/>
      <c r="G202" s="503"/>
      <c r="H202" s="508"/>
      <c r="I202" s="507"/>
      <c r="J202" s="509"/>
    </row>
    <row r="203" spans="1:10" s="407" customFormat="1" ht="15" hidden="1">
      <c r="A203" s="502"/>
      <c r="B203" s="502"/>
      <c r="C203" s="493"/>
      <c r="D203" s="503"/>
      <c r="E203" s="503"/>
      <c r="F203" s="484"/>
      <c r="G203" s="503"/>
      <c r="H203" s="508"/>
      <c r="I203" s="507"/>
      <c r="J203" s="509"/>
    </row>
    <row r="204" spans="1:10" s="407" customFormat="1" ht="15" hidden="1">
      <c r="A204" s="502" t="s">
        <v>777</v>
      </c>
      <c r="B204" s="502"/>
      <c r="C204" s="493"/>
      <c r="D204" s="503"/>
      <c r="E204" s="503"/>
      <c r="F204" s="484"/>
      <c r="G204" s="482"/>
      <c r="H204" s="503"/>
      <c r="I204" s="507"/>
      <c r="J204" s="509"/>
    </row>
    <row r="205" spans="1:10" s="407" customFormat="1" ht="15" hidden="1">
      <c r="A205" s="502"/>
      <c r="B205" s="502"/>
      <c r="C205" s="505"/>
      <c r="D205" s="503"/>
      <c r="E205" s="503"/>
      <c r="F205" s="484"/>
      <c r="G205" s="503"/>
      <c r="H205" s="508"/>
      <c r="I205" s="507"/>
      <c r="J205" s="509"/>
    </row>
    <row r="206" spans="1:10" s="407" customFormat="1" ht="15" hidden="1">
      <c r="A206" s="502" t="s">
        <v>713</v>
      </c>
      <c r="B206" s="502"/>
      <c r="C206" s="493"/>
      <c r="D206" s="503"/>
      <c r="E206" s="503"/>
      <c r="F206" s="484"/>
      <c r="G206" s="482"/>
      <c r="H206" s="508"/>
      <c r="I206" s="507"/>
      <c r="J206" s="509"/>
    </row>
    <row r="207" spans="1:10" s="407" customFormat="1" ht="15" hidden="1">
      <c r="A207" s="502"/>
      <c r="B207" s="502"/>
      <c r="C207" s="493"/>
      <c r="D207" s="503"/>
      <c r="E207" s="503"/>
      <c r="F207" s="484"/>
      <c r="G207" s="503"/>
      <c r="H207" s="508"/>
      <c r="I207" s="507"/>
      <c r="J207" s="509"/>
    </row>
    <row r="208" spans="1:10" s="407" customFormat="1" ht="15" hidden="1">
      <c r="A208" s="502"/>
      <c r="B208" s="502"/>
      <c r="C208" s="493"/>
      <c r="D208" s="503"/>
      <c r="E208" s="503"/>
      <c r="F208" s="484"/>
      <c r="G208" s="503"/>
      <c r="H208" s="508"/>
      <c r="I208" s="507"/>
      <c r="J208" s="509"/>
    </row>
    <row r="209" spans="1:10" s="407" customFormat="1" ht="15" hidden="1">
      <c r="A209" s="502" t="s">
        <v>714</v>
      </c>
      <c r="B209" s="502"/>
      <c r="C209" s="505"/>
      <c r="D209" s="503"/>
      <c r="E209" s="503"/>
      <c r="F209" s="484"/>
      <c r="G209" s="482"/>
      <c r="H209" s="503"/>
      <c r="I209" s="507"/>
      <c r="J209" s="509"/>
    </row>
    <row r="210" spans="1:10" s="407" customFormat="1" ht="15" hidden="1">
      <c r="A210" s="502"/>
      <c r="B210" s="502"/>
      <c r="C210" s="505"/>
      <c r="D210" s="503"/>
      <c r="E210" s="503"/>
      <c r="F210" s="484"/>
      <c r="G210" s="503"/>
      <c r="H210" s="508"/>
      <c r="I210" s="507"/>
      <c r="J210" s="509"/>
    </row>
    <row r="211" spans="1:10" s="407" customFormat="1" ht="15" hidden="1">
      <c r="A211" s="502" t="s">
        <v>718</v>
      </c>
      <c r="B211" s="502"/>
      <c r="C211" s="505"/>
      <c r="D211" s="503"/>
      <c r="E211" s="503"/>
      <c r="F211" s="484"/>
      <c r="G211" s="482"/>
      <c r="H211" s="503"/>
      <c r="I211" s="507"/>
      <c r="J211" s="509"/>
    </row>
    <row r="212" spans="1:10" s="407" customFormat="1" ht="15" hidden="1">
      <c r="A212" s="502"/>
      <c r="B212" s="502"/>
      <c r="C212" s="493"/>
      <c r="D212" s="503"/>
      <c r="E212" s="503"/>
      <c r="F212" s="484"/>
      <c r="G212" s="503"/>
      <c r="H212" s="508"/>
      <c r="I212" s="507"/>
      <c r="J212" s="509"/>
    </row>
    <row r="213" spans="1:10" s="407" customFormat="1" ht="15" hidden="1">
      <c r="A213" s="502"/>
      <c r="B213" s="502"/>
      <c r="C213" s="505"/>
      <c r="D213" s="503"/>
      <c r="E213" s="503"/>
      <c r="F213" s="484"/>
      <c r="G213" s="503"/>
      <c r="H213" s="508"/>
      <c r="I213" s="507"/>
      <c r="J213" s="509"/>
    </row>
    <row r="214" spans="1:10" s="407" customFormat="1" ht="15" hidden="1">
      <c r="A214" s="502" t="s">
        <v>719</v>
      </c>
      <c r="B214" s="502"/>
      <c r="C214" s="505"/>
      <c r="D214" s="503"/>
      <c r="E214" s="503"/>
      <c r="F214" s="484"/>
      <c r="G214" s="482"/>
      <c r="H214" s="503"/>
      <c r="I214" s="507"/>
      <c r="J214" s="509"/>
    </row>
    <row r="215" spans="1:10" s="407" customFormat="1" ht="15" hidden="1">
      <c r="A215" s="502"/>
      <c r="B215" s="502"/>
      <c r="C215" s="505"/>
      <c r="D215" s="503"/>
      <c r="E215" s="503"/>
      <c r="F215" s="484"/>
      <c r="G215" s="503"/>
      <c r="H215" s="508"/>
      <c r="I215" s="507"/>
      <c r="J215" s="509"/>
    </row>
    <row r="216" spans="1:10" s="407" customFormat="1" ht="15" hidden="1">
      <c r="A216" s="502" t="s">
        <v>720</v>
      </c>
      <c r="B216" s="502"/>
      <c r="C216" s="493"/>
      <c r="D216" s="503"/>
      <c r="E216" s="503"/>
      <c r="F216" s="484"/>
      <c r="G216" s="482"/>
      <c r="H216" s="503"/>
      <c r="I216" s="507"/>
      <c r="J216" s="509"/>
    </row>
    <row r="217" spans="1:10" s="407" customFormat="1" ht="15" hidden="1">
      <c r="A217" s="502"/>
      <c r="B217" s="502"/>
      <c r="C217" s="505"/>
      <c r="D217" s="503"/>
      <c r="E217" s="503"/>
      <c r="F217" s="484"/>
      <c r="G217" s="503"/>
      <c r="H217" s="508"/>
      <c r="I217" s="507"/>
      <c r="J217" s="509"/>
    </row>
    <row r="218" spans="1:10" s="407" customFormat="1" ht="15" hidden="1">
      <c r="A218" s="502" t="s">
        <v>721</v>
      </c>
      <c r="B218" s="502"/>
      <c r="C218" s="493"/>
      <c r="D218" s="503"/>
      <c r="E218" s="503"/>
      <c r="F218" s="484"/>
      <c r="G218" s="482"/>
      <c r="H218" s="503"/>
      <c r="I218" s="507"/>
      <c r="J218" s="509"/>
    </row>
    <row r="219" spans="1:10" s="407" customFormat="1" ht="15" hidden="1">
      <c r="A219" s="502"/>
      <c r="B219" s="502"/>
      <c r="C219" s="505"/>
      <c r="D219" s="503"/>
      <c r="E219" s="503"/>
      <c r="F219" s="484"/>
      <c r="G219" s="503"/>
      <c r="H219" s="508"/>
      <c r="I219" s="507"/>
      <c r="J219" s="509"/>
    </row>
    <row r="220" spans="1:10" s="407" customFormat="1" ht="15" hidden="1">
      <c r="A220" s="502"/>
      <c r="B220" s="502"/>
      <c r="C220" s="505"/>
      <c r="D220" s="503"/>
      <c r="E220" s="503"/>
      <c r="F220" s="484"/>
      <c r="G220" s="503"/>
      <c r="H220" s="508"/>
      <c r="I220" s="507"/>
      <c r="J220" s="509"/>
    </row>
    <row r="221" spans="1:10" s="407" customFormat="1" ht="15" hidden="1">
      <c r="A221" s="502" t="s">
        <v>722</v>
      </c>
      <c r="B221" s="502"/>
      <c r="C221" s="505"/>
      <c r="D221" s="503"/>
      <c r="E221" s="503"/>
      <c r="F221" s="484"/>
      <c r="G221" s="482"/>
      <c r="H221" s="503"/>
      <c r="I221" s="507"/>
      <c r="J221" s="509"/>
    </row>
    <row r="222" spans="1:10" s="407" customFormat="1" ht="15" hidden="1">
      <c r="A222" s="502"/>
      <c r="B222" s="502"/>
      <c r="C222" s="505"/>
      <c r="D222" s="503"/>
      <c r="E222" s="503"/>
      <c r="F222" s="484"/>
      <c r="G222" s="503"/>
      <c r="H222" s="508"/>
      <c r="I222" s="507"/>
      <c r="J222" s="509"/>
    </row>
    <row r="223" spans="1:10" s="407" customFormat="1" ht="15" hidden="1">
      <c r="A223" s="502" t="s">
        <v>118</v>
      </c>
      <c r="B223" s="502"/>
      <c r="C223" s="493"/>
      <c r="D223" s="503"/>
      <c r="E223" s="503"/>
      <c r="F223" s="484"/>
      <c r="G223" s="482"/>
      <c r="H223" s="503"/>
      <c r="I223" s="507"/>
      <c r="J223" s="509"/>
    </row>
    <row r="224" spans="1:10" s="407" customFormat="1" ht="15" hidden="1">
      <c r="A224" s="502"/>
      <c r="B224" s="502"/>
      <c r="C224" s="493"/>
      <c r="D224" s="503"/>
      <c r="E224" s="503"/>
      <c r="F224" s="484"/>
      <c r="G224" s="503"/>
      <c r="H224" s="508"/>
      <c r="I224" s="507"/>
      <c r="J224" s="509"/>
    </row>
    <row r="225" spans="1:10" s="407" customFormat="1" ht="15" hidden="1">
      <c r="A225" s="502" t="s">
        <v>119</v>
      </c>
      <c r="B225" s="502"/>
      <c r="C225" s="493"/>
      <c r="D225" s="503"/>
      <c r="E225" s="503"/>
      <c r="F225" s="484"/>
      <c r="G225" s="482"/>
      <c r="H225" s="503"/>
      <c r="I225" s="507"/>
      <c r="J225" s="509"/>
    </row>
    <row r="226" spans="1:10" ht="27.75" customHeight="1">
      <c r="A226" s="783" t="s">
        <v>194</v>
      </c>
      <c r="B226" s="784"/>
      <c r="C226" s="785" t="s">
        <v>48</v>
      </c>
      <c r="D226" s="510"/>
      <c r="E226" s="510"/>
      <c r="F226" s="478"/>
      <c r="G226" s="482"/>
      <c r="H226" s="482"/>
      <c r="I226" s="482"/>
      <c r="J226" s="482"/>
    </row>
    <row r="227" spans="1:10" ht="27.75" customHeight="1">
      <c r="A227" s="783" t="s">
        <v>58</v>
      </c>
      <c r="B227" s="787">
        <v>12278</v>
      </c>
      <c r="C227" s="669" t="s">
        <v>49</v>
      </c>
      <c r="D227" s="786"/>
      <c r="E227" s="788"/>
      <c r="F227" s="510">
        <f>'6. Пров закупівлі'!F66</f>
        <v>13.4</v>
      </c>
      <c r="G227" s="784" t="s">
        <v>50</v>
      </c>
      <c r="H227" s="482"/>
      <c r="I227" s="482"/>
      <c r="J227" s="482"/>
    </row>
    <row r="228" spans="1:10" ht="27.75" customHeight="1">
      <c r="A228" s="786"/>
      <c r="B228" s="786"/>
      <c r="C228" s="786"/>
      <c r="D228" s="786"/>
      <c r="E228" s="786"/>
      <c r="F228" s="478"/>
      <c r="G228" s="482"/>
      <c r="H228" s="482"/>
      <c r="I228" s="482"/>
      <c r="J228" s="482"/>
    </row>
    <row r="229" spans="1:10" ht="15">
      <c r="A229" s="939" t="s">
        <v>353</v>
      </c>
      <c r="B229" s="940"/>
      <c r="C229" s="940"/>
      <c r="D229" s="940"/>
      <c r="E229" s="941"/>
      <c r="F229" s="503">
        <f>F9+F16+F24+F32+F52+F61+F71+F75+F77+F227</f>
        <v>72676.40080420433</v>
      </c>
      <c r="G229" s="511" t="s">
        <v>150</v>
      </c>
      <c r="H229" s="511" t="s">
        <v>150</v>
      </c>
      <c r="I229" s="511" t="s">
        <v>150</v>
      </c>
      <c r="J229" s="511" t="s">
        <v>150</v>
      </c>
    </row>
  </sheetData>
  <sheetProtection/>
  <mergeCells count="11">
    <mergeCell ref="A229:E229"/>
    <mergeCell ref="I3:I4"/>
    <mergeCell ref="A3:A4"/>
    <mergeCell ref="C3:C4"/>
    <mergeCell ref="D3:D4"/>
    <mergeCell ref="H3:H4"/>
    <mergeCell ref="A2:J2"/>
    <mergeCell ref="G3:G4"/>
    <mergeCell ref="J3:J4"/>
    <mergeCell ref="E3:F3"/>
    <mergeCell ref="B3:B4"/>
  </mergeCells>
  <printOptions/>
  <pageMargins left="0.54" right="0.34" top="0.38" bottom="0.43" header="0.36" footer="0.35"/>
  <pageSetup fitToHeight="9" fitToWidth="1" horizontalDpi="600" verticalDpi="600" orientation="landscape" paperSize="9" scale="78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O17"/>
  <sheetViews>
    <sheetView zoomScalePageLayoutView="0" workbookViewId="0" topLeftCell="B1">
      <selection activeCell="E31" sqref="E31"/>
    </sheetView>
  </sheetViews>
  <sheetFormatPr defaultColWidth="9.00390625" defaultRowHeight="12.75"/>
  <cols>
    <col min="1" max="1" width="5.75390625" style="3" customWidth="1"/>
    <col min="2" max="2" width="18.125" style="3" customWidth="1"/>
    <col min="3" max="3" width="18.75390625" style="3" customWidth="1"/>
    <col min="4" max="4" width="13.25390625" style="3" customWidth="1"/>
    <col min="5" max="5" width="10.625" style="3" customWidth="1"/>
    <col min="6" max="6" width="12.375" style="3" customWidth="1"/>
    <col min="7" max="7" width="10.375" style="3" customWidth="1"/>
    <col min="8" max="8" width="12.625" style="3" customWidth="1"/>
    <col min="9" max="9" width="9.00390625" style="3" customWidth="1"/>
    <col min="10" max="10" width="11.375" style="3" customWidth="1"/>
    <col min="11" max="11" width="11.625" style="3" customWidth="1"/>
    <col min="12" max="12" width="11.25390625" style="3" customWidth="1"/>
    <col min="13" max="13" width="11.75390625" style="3" customWidth="1"/>
    <col min="14" max="14" width="14.375" style="3" customWidth="1"/>
    <col min="15" max="15" width="11.00390625" style="3" customWidth="1"/>
    <col min="16" max="16384" width="9.125" style="3" customWidth="1"/>
  </cols>
  <sheetData>
    <row r="1" spans="1:15" s="1" customFormat="1" ht="27.75" customHeight="1">
      <c r="A1" s="854" t="s">
        <v>641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6"/>
    </row>
    <row r="2" spans="1:15" s="1" customFormat="1" ht="18" customHeight="1">
      <c r="A2" s="942" t="s">
        <v>236</v>
      </c>
      <c r="B2" s="858" t="s">
        <v>251</v>
      </c>
      <c r="C2" s="859"/>
      <c r="D2" s="912" t="str">
        <f>'5.І. Ел м'!D2:E3</f>
        <v>Всього на 2012 - 2016 рр. (з ПДВ)</v>
      </c>
      <c r="E2" s="912"/>
      <c r="F2" s="857" t="s">
        <v>238</v>
      </c>
      <c r="G2" s="857"/>
      <c r="H2" s="857"/>
      <c r="I2" s="857"/>
      <c r="J2" s="857"/>
      <c r="K2" s="857"/>
      <c r="L2" s="857"/>
      <c r="M2" s="857"/>
      <c r="N2" s="913" t="s">
        <v>601</v>
      </c>
      <c r="O2" s="913" t="s">
        <v>587</v>
      </c>
    </row>
    <row r="3" spans="1:15" s="2" customFormat="1" ht="27" customHeight="1">
      <c r="A3" s="942"/>
      <c r="B3" s="860"/>
      <c r="C3" s="861"/>
      <c r="D3" s="912"/>
      <c r="E3" s="912"/>
      <c r="F3" s="943">
        <f>'5.І. Ел м'!F3:J3</f>
        <v>2012</v>
      </c>
      <c r="G3" s="944"/>
      <c r="H3" s="944"/>
      <c r="I3" s="945"/>
      <c r="J3" s="25">
        <f>'5.І. Ел м'!K3</f>
        <v>2013</v>
      </c>
      <c r="K3" s="25">
        <f>'5.І. Ел м'!L3</f>
        <v>2014</v>
      </c>
      <c r="L3" s="25">
        <f>'5.І. Ел м'!M3</f>
        <v>2015</v>
      </c>
      <c r="M3" s="25">
        <f>'5.І. Ел м'!N3</f>
        <v>2016</v>
      </c>
      <c r="N3" s="914"/>
      <c r="O3" s="914"/>
    </row>
    <row r="4" spans="1:15" s="2" customFormat="1" ht="33" customHeight="1">
      <c r="A4" s="942"/>
      <c r="B4" s="860"/>
      <c r="C4" s="861"/>
      <c r="D4" s="857" t="s">
        <v>745</v>
      </c>
      <c r="E4" s="857" t="s">
        <v>239</v>
      </c>
      <c r="F4" s="857" t="s">
        <v>252</v>
      </c>
      <c r="G4" s="857"/>
      <c r="H4" s="857" t="s">
        <v>253</v>
      </c>
      <c r="I4" s="857"/>
      <c r="J4" s="857" t="s">
        <v>745</v>
      </c>
      <c r="K4" s="857" t="s">
        <v>745</v>
      </c>
      <c r="L4" s="857" t="s">
        <v>745</v>
      </c>
      <c r="M4" s="857" t="s">
        <v>745</v>
      </c>
      <c r="N4" s="915"/>
      <c r="O4" s="914"/>
    </row>
    <row r="5" spans="1:15" s="1" customFormat="1" ht="27" customHeight="1">
      <c r="A5" s="942"/>
      <c r="B5" s="910"/>
      <c r="C5" s="911"/>
      <c r="D5" s="857"/>
      <c r="E5" s="857"/>
      <c r="F5" s="475" t="s">
        <v>745</v>
      </c>
      <c r="G5" s="475" t="s">
        <v>239</v>
      </c>
      <c r="H5" s="475" t="s">
        <v>599</v>
      </c>
      <c r="I5" s="475" t="s">
        <v>239</v>
      </c>
      <c r="J5" s="857"/>
      <c r="K5" s="857"/>
      <c r="L5" s="857"/>
      <c r="M5" s="857"/>
      <c r="N5" s="24" t="s">
        <v>600</v>
      </c>
      <c r="O5" s="915"/>
    </row>
    <row r="6" spans="1:15" s="1" customFormat="1" ht="12.75">
      <c r="A6" s="5">
        <v>1</v>
      </c>
      <c r="B6" s="930">
        <v>2</v>
      </c>
      <c r="C6" s="931"/>
      <c r="D6" s="513">
        <v>3</v>
      </c>
      <c r="E6" s="513">
        <v>4</v>
      </c>
      <c r="F6" s="513">
        <v>5</v>
      </c>
      <c r="G6" s="513">
        <v>6</v>
      </c>
      <c r="H6" s="513">
        <v>7</v>
      </c>
      <c r="I6" s="513">
        <v>8</v>
      </c>
      <c r="J6" s="513">
        <v>9</v>
      </c>
      <c r="K6" s="513">
        <v>10</v>
      </c>
      <c r="L6" s="513">
        <v>11</v>
      </c>
      <c r="M6" s="513">
        <v>12</v>
      </c>
      <c r="N6" s="513">
        <v>13</v>
      </c>
      <c r="O6" s="513">
        <v>14</v>
      </c>
    </row>
    <row r="7" spans="1:15" ht="20.25" customHeight="1">
      <c r="A7" s="11" t="s">
        <v>268</v>
      </c>
      <c r="B7" s="918" t="s">
        <v>591</v>
      </c>
      <c r="C7" s="918"/>
      <c r="D7" s="17">
        <f>SUM(D8:D12,D15)</f>
        <v>57142.51014320999</v>
      </c>
      <c r="E7" s="16">
        <f>IF(D17=0,0,D7/D17)</f>
        <v>0.9179218667112061</v>
      </c>
      <c r="F7" s="514">
        <f>SUM(F8:F12,F15)</f>
        <v>8373.1959</v>
      </c>
      <c r="G7" s="16">
        <f>IF(F17=0,0,F7/F17)</f>
        <v>0.9000924032398312</v>
      </c>
      <c r="H7" s="17">
        <f>SUM(H8:H12,H15)</f>
        <v>2.55</v>
      </c>
      <c r="I7" s="6"/>
      <c r="J7" s="17">
        <f>SUM(J8:J12,J15)</f>
        <v>10281.835079999999</v>
      </c>
      <c r="K7" s="17">
        <f>SUM(K8:K12,K15)</f>
        <v>11824.110342</v>
      </c>
      <c r="L7" s="17">
        <f>SUM(L8:L12,L15)</f>
        <v>13006.521376199998</v>
      </c>
      <c r="M7" s="17">
        <f>SUM(M8:M12,M15)</f>
        <v>13656.847445009998</v>
      </c>
      <c r="N7" s="466"/>
      <c r="O7" s="466"/>
    </row>
    <row r="8" spans="1:15" ht="24.75" customHeight="1">
      <c r="A8" s="11" t="s">
        <v>271</v>
      </c>
      <c r="B8" s="918" t="s">
        <v>259</v>
      </c>
      <c r="C8" s="918"/>
      <c r="D8" s="17">
        <f aca="true" t="shared" si="0" ref="D8:D16">SUM(F8,J8:M8)</f>
        <v>1672.9750000000001</v>
      </c>
      <c r="E8" s="16">
        <f>IF(D7=0,0,D8/D7)</f>
        <v>0.029277240285860855</v>
      </c>
      <c r="F8" s="49">
        <f>'6. Пров закупівлі'!F98</f>
        <v>250</v>
      </c>
      <c r="G8" s="16">
        <f>IF(F7=0,0,F8/F7)</f>
        <v>0.029857177950416754</v>
      </c>
      <c r="H8" s="18"/>
      <c r="I8" s="6"/>
      <c r="J8" s="18">
        <f>F8*1.2</f>
        <v>300</v>
      </c>
      <c r="K8" s="18">
        <f>J8*1.15</f>
        <v>345</v>
      </c>
      <c r="L8" s="18">
        <f>K8*1.1</f>
        <v>379.50000000000006</v>
      </c>
      <c r="M8" s="18">
        <f>L8*1.05</f>
        <v>398.4750000000001</v>
      </c>
      <c r="N8" s="467" t="s">
        <v>531</v>
      </c>
      <c r="O8" s="466"/>
    </row>
    <row r="9" spans="1:15" ht="27" customHeight="1">
      <c r="A9" s="11" t="s">
        <v>270</v>
      </c>
      <c r="B9" s="918" t="s">
        <v>260</v>
      </c>
      <c r="C9" s="918"/>
      <c r="D9" s="17">
        <f t="shared" si="0"/>
        <v>0</v>
      </c>
      <c r="E9" s="16">
        <f>IF(D7=0,0,D9/D7)</f>
        <v>0</v>
      </c>
      <c r="F9" s="49"/>
      <c r="G9" s="16">
        <f>IF(F7=0,0,F9/F7)</f>
        <v>0</v>
      </c>
      <c r="H9" s="18"/>
      <c r="I9" s="6"/>
      <c r="J9" s="18"/>
      <c r="K9" s="18"/>
      <c r="L9" s="18"/>
      <c r="M9" s="18"/>
      <c r="N9" s="467"/>
      <c r="O9" s="466"/>
    </row>
    <row r="10" spans="1:15" ht="21.75" customHeight="1">
      <c r="A10" s="946" t="s">
        <v>638</v>
      </c>
      <c r="B10" s="947" t="s">
        <v>255</v>
      </c>
      <c r="C10" s="13" t="s">
        <v>256</v>
      </c>
      <c r="D10" s="17">
        <f>SUM(F10,J10:M10)</f>
        <v>887.9876932099999</v>
      </c>
      <c r="E10" s="16">
        <f>IF(D7=0,0,D10/D7)</f>
        <v>0.015539878996994251</v>
      </c>
      <c r="F10" s="49">
        <f>'6. Пров закупівлі'!F102</f>
        <v>132.6959</v>
      </c>
      <c r="G10" s="16">
        <f>IF(F7=0,0,F10/F7)</f>
        <v>0.015847700398362828</v>
      </c>
      <c r="H10" s="18">
        <v>0.15</v>
      </c>
      <c r="I10" s="6"/>
      <c r="J10" s="18">
        <f>F10*1.2</f>
        <v>159.23507999999998</v>
      </c>
      <c r="K10" s="18">
        <f>J10*1.15</f>
        <v>183.12034199999997</v>
      </c>
      <c r="L10" s="18">
        <f>K10*1.1</f>
        <v>201.43237619999996</v>
      </c>
      <c r="M10" s="18">
        <f>L10*1.05</f>
        <v>211.50399500999998</v>
      </c>
      <c r="N10" s="467" t="s">
        <v>698</v>
      </c>
      <c r="O10" s="466"/>
    </row>
    <row r="11" spans="1:15" ht="24" customHeight="1">
      <c r="A11" s="946"/>
      <c r="B11" s="918"/>
      <c r="C11" s="14" t="s">
        <v>257</v>
      </c>
      <c r="D11" s="17">
        <f>SUM(F11,J11:M11)</f>
        <v>1109.9205</v>
      </c>
      <c r="E11" s="16">
        <f>IF(D7=0,0,D11/D7)</f>
        <v>0.01942372670046045</v>
      </c>
      <c r="F11" s="49">
        <v>0</v>
      </c>
      <c r="G11" s="16">
        <f>IF(F7=0,0,F11/F7)</f>
        <v>0</v>
      </c>
      <c r="H11" s="18"/>
      <c r="I11" s="6"/>
      <c r="J11" s="18">
        <v>234</v>
      </c>
      <c r="K11" s="18">
        <f>J11*1.15</f>
        <v>269.09999999999997</v>
      </c>
      <c r="L11" s="18">
        <f>K11*1.1</f>
        <v>296.01</v>
      </c>
      <c r="M11" s="18">
        <f>L11*1.05</f>
        <v>310.8105</v>
      </c>
      <c r="N11" s="467"/>
      <c r="O11" s="466"/>
    </row>
    <row r="12" spans="1:15" ht="28.5" customHeight="1">
      <c r="A12" s="946" t="s">
        <v>273</v>
      </c>
      <c r="B12" s="918" t="s">
        <v>264</v>
      </c>
      <c r="C12" s="918"/>
      <c r="D12" s="17">
        <f>SUM(D13:D14)</f>
        <v>53471.62694999999</v>
      </c>
      <c r="E12" s="16">
        <f>IF(D7=0,0,D12/D7)</f>
        <v>0.9357591540166844</v>
      </c>
      <c r="F12" s="514">
        <f>SUM(F13:F14)</f>
        <v>7990.5</v>
      </c>
      <c r="G12" s="16">
        <f>IF(F7=0,0,F12/F7)</f>
        <v>0.9542951216512203</v>
      </c>
      <c r="H12" s="17">
        <f>SUM(H13:H14)</f>
        <v>2.4</v>
      </c>
      <c r="I12" s="6"/>
      <c r="J12" s="17">
        <f>SUM(J13:J14)</f>
        <v>9588.599999999999</v>
      </c>
      <c r="K12" s="17">
        <f>SUM(K13:K14)</f>
        <v>11026.89</v>
      </c>
      <c r="L12" s="17">
        <f>SUM(L13:L14)</f>
        <v>12129.578999999998</v>
      </c>
      <c r="M12" s="17">
        <f>SUM(M13:M14)</f>
        <v>12736.057949999999</v>
      </c>
      <c r="N12" s="467" t="s">
        <v>165</v>
      </c>
      <c r="O12" s="466"/>
    </row>
    <row r="13" spans="1:15" ht="12.75">
      <c r="A13" s="946"/>
      <c r="B13" s="918" t="s">
        <v>265</v>
      </c>
      <c r="C13" s="918"/>
      <c r="D13" s="17">
        <f t="shared" si="0"/>
        <v>26740.8324</v>
      </c>
      <c r="E13" s="16">
        <f>IF(D12=0,0,D13/D12)</f>
        <v>0.5000938614604844</v>
      </c>
      <c r="F13" s="49">
        <f>'6. Пров закупівлі'!F107</f>
        <v>3996</v>
      </c>
      <c r="G13" s="16">
        <f>IF(F12=0,0,F13/F12)</f>
        <v>0.5000938614604843</v>
      </c>
      <c r="H13" s="948">
        <v>2.4</v>
      </c>
      <c r="I13" s="6"/>
      <c r="J13" s="18">
        <f>F13*1.2</f>
        <v>4795.2</v>
      </c>
      <c r="K13" s="18">
        <f>J13*1.15</f>
        <v>5514.48</v>
      </c>
      <c r="L13" s="18">
        <f>K13*1.1</f>
        <v>6065.928</v>
      </c>
      <c r="M13" s="18">
        <f>L13*1.05</f>
        <v>6369.2244</v>
      </c>
      <c r="N13" s="467"/>
      <c r="O13" s="466"/>
    </row>
    <row r="14" spans="1:15" ht="12.75">
      <c r="A14" s="946"/>
      <c r="B14" s="918" t="s">
        <v>266</v>
      </c>
      <c r="C14" s="918"/>
      <c r="D14" s="17">
        <f t="shared" si="0"/>
        <v>26730.794549999995</v>
      </c>
      <c r="E14" s="16">
        <f>IF(D12=0,0,D14/D12)</f>
        <v>0.49990613853951565</v>
      </c>
      <c r="F14" s="49">
        <f>'6. Пров закупівлі'!F111</f>
        <v>3994.5</v>
      </c>
      <c r="G14" s="16">
        <f>IF(F12=0,0,F14/F12)</f>
        <v>0.49990613853951565</v>
      </c>
      <c r="H14" s="949"/>
      <c r="I14" s="6"/>
      <c r="J14" s="18">
        <f>F14*1.2</f>
        <v>4793.4</v>
      </c>
      <c r="K14" s="18">
        <f>J14*1.15</f>
        <v>5512.409999999999</v>
      </c>
      <c r="L14" s="18">
        <f>K14*1.1</f>
        <v>6063.650999999999</v>
      </c>
      <c r="M14" s="18">
        <f>L14*1.05</f>
        <v>6366.833549999999</v>
      </c>
      <c r="N14" s="467"/>
      <c r="O14" s="466"/>
    </row>
    <row r="15" spans="1:15" ht="37.5" customHeight="1">
      <c r="A15" s="11" t="s">
        <v>639</v>
      </c>
      <c r="B15" s="918" t="s">
        <v>267</v>
      </c>
      <c r="C15" s="918"/>
      <c r="D15" s="17">
        <f t="shared" si="0"/>
        <v>0</v>
      </c>
      <c r="E15" s="16">
        <f>IF(D7=0,0,D15/D7)</f>
        <v>0</v>
      </c>
      <c r="F15" s="49"/>
      <c r="G15" s="16">
        <f>IF(F7=0,0,F15/F7)</f>
        <v>0</v>
      </c>
      <c r="H15" s="18"/>
      <c r="I15" s="6"/>
      <c r="J15" s="18">
        <f>(F15)*1.2</f>
        <v>0</v>
      </c>
      <c r="K15" s="18">
        <f>J15*1.15</f>
        <v>0</v>
      </c>
      <c r="L15" s="18">
        <f>K15*1.1</f>
        <v>0</v>
      </c>
      <c r="M15" s="18">
        <f>L15*1.05</f>
        <v>0</v>
      </c>
      <c r="N15" s="467"/>
      <c r="O15" s="466"/>
    </row>
    <row r="16" spans="1:15" ht="33.75" customHeight="1">
      <c r="A16" s="11" t="s">
        <v>269</v>
      </c>
      <c r="B16" s="918" t="s">
        <v>249</v>
      </c>
      <c r="C16" s="918"/>
      <c r="D16" s="17">
        <f t="shared" si="0"/>
        <v>5109.53136</v>
      </c>
      <c r="E16" s="16">
        <f>IF(D17=0,0,D16/D17)</f>
        <v>0.0820781332887939</v>
      </c>
      <c r="F16" s="49">
        <f>'6. Пров закупівлі'!F123</f>
        <v>929.4000000000001</v>
      </c>
      <c r="G16" s="16">
        <f>IF(F17=0,0,F16/F17)</f>
        <v>0.09990759676016886</v>
      </c>
      <c r="H16" s="18"/>
      <c r="I16" s="6"/>
      <c r="J16" s="18">
        <f>(F16)*1.2-J11</f>
        <v>881.28</v>
      </c>
      <c r="K16" s="18">
        <f>J16*1.15</f>
        <v>1013.4719999999999</v>
      </c>
      <c r="L16" s="18">
        <f>K16*1.1</f>
        <v>1114.8192</v>
      </c>
      <c r="M16" s="18">
        <f>L16*1.05</f>
        <v>1170.56016</v>
      </c>
      <c r="N16" s="467" t="s">
        <v>500</v>
      </c>
      <c r="O16" s="466"/>
    </row>
    <row r="17" spans="1:15" ht="15" customHeight="1">
      <c r="A17" s="11"/>
      <c r="B17" s="926" t="s">
        <v>304</v>
      </c>
      <c r="C17" s="927"/>
      <c r="D17" s="17">
        <f aca="true" t="shared" si="1" ref="D17:M17">SUM(D7,D16)</f>
        <v>62252.04150320999</v>
      </c>
      <c r="E17" s="16">
        <f t="shared" si="1"/>
        <v>1</v>
      </c>
      <c r="F17" s="514">
        <f>SUM(F7,F16)</f>
        <v>9302.5959</v>
      </c>
      <c r="G17" s="16">
        <f t="shared" si="1"/>
        <v>1</v>
      </c>
      <c r="H17" s="17">
        <f t="shared" si="1"/>
        <v>2.55</v>
      </c>
      <c r="I17" s="6"/>
      <c r="J17" s="17">
        <f>SUM(J7,J16)</f>
        <v>11163.11508</v>
      </c>
      <c r="K17" s="17">
        <f t="shared" si="1"/>
        <v>12837.582342</v>
      </c>
      <c r="L17" s="17">
        <f t="shared" si="1"/>
        <v>14121.340576199998</v>
      </c>
      <c r="M17" s="17">
        <f t="shared" si="1"/>
        <v>14827.407605009997</v>
      </c>
      <c r="N17" s="466"/>
      <c r="O17" s="466"/>
    </row>
  </sheetData>
  <sheetProtection/>
  <mergeCells count="30">
    <mergeCell ref="H13:H14"/>
    <mergeCell ref="B17:C17"/>
    <mergeCell ref="B13:C13"/>
    <mergeCell ref="B14:C14"/>
    <mergeCell ref="B15:C15"/>
    <mergeCell ref="B16:C16"/>
    <mergeCell ref="B8:C8"/>
    <mergeCell ref="B9:C9"/>
    <mergeCell ref="B12:C12"/>
    <mergeCell ref="A12:A14"/>
    <mergeCell ref="B10:B11"/>
    <mergeCell ref="A10:A11"/>
    <mergeCell ref="L4:L5"/>
    <mergeCell ref="M4:M5"/>
    <mergeCell ref="B7:C7"/>
    <mergeCell ref="E4:E5"/>
    <mergeCell ref="F4:G4"/>
    <mergeCell ref="H4:I4"/>
    <mergeCell ref="J4:J5"/>
    <mergeCell ref="B6:C6"/>
    <mergeCell ref="A1:O1"/>
    <mergeCell ref="O2:O5"/>
    <mergeCell ref="N2:N4"/>
    <mergeCell ref="A2:A5"/>
    <mergeCell ref="B2:C5"/>
    <mergeCell ref="D2:E3"/>
    <mergeCell ref="F2:M2"/>
    <mergeCell ref="F3:I3"/>
    <mergeCell ref="D4:D5"/>
    <mergeCell ref="K4:K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L18"/>
  <sheetViews>
    <sheetView showZeros="0" zoomScalePageLayoutView="0" workbookViewId="0" topLeftCell="A1">
      <selection activeCell="K26" sqref="K26"/>
    </sheetView>
  </sheetViews>
  <sheetFormatPr defaultColWidth="9.00390625" defaultRowHeight="12.75"/>
  <cols>
    <col min="1" max="1" width="6.375" style="3" customWidth="1"/>
    <col min="2" max="2" width="30.75390625" style="3" customWidth="1"/>
    <col min="3" max="3" width="15.00390625" style="3" customWidth="1"/>
    <col min="4" max="4" width="11.25390625" style="3" customWidth="1"/>
    <col min="5" max="5" width="14.125" style="3" customWidth="1"/>
    <col min="6" max="6" width="9.875" style="3" customWidth="1"/>
    <col min="7" max="7" width="13.625" style="3" customWidth="1"/>
    <col min="8" max="8" width="13.00390625" style="3" customWidth="1"/>
    <col min="9" max="10" width="12.75390625" style="3" customWidth="1"/>
    <col min="11" max="11" width="18.625" style="3" customWidth="1"/>
    <col min="12" max="12" width="10.125" style="3" customWidth="1"/>
    <col min="13" max="16384" width="9.125" style="3" customWidth="1"/>
  </cols>
  <sheetData>
    <row r="1" spans="1:12" ht="24" customHeight="1">
      <c r="A1" s="854" t="s">
        <v>642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2" ht="21.75" customHeight="1">
      <c r="A2" s="857" t="s">
        <v>236</v>
      </c>
      <c r="B2" s="857" t="s">
        <v>251</v>
      </c>
      <c r="C2" s="912" t="s">
        <v>539</v>
      </c>
      <c r="D2" s="912"/>
      <c r="E2" s="857" t="s">
        <v>238</v>
      </c>
      <c r="F2" s="857"/>
      <c r="G2" s="857"/>
      <c r="H2" s="857"/>
      <c r="I2" s="857"/>
      <c r="J2" s="857"/>
      <c r="K2" s="913" t="s">
        <v>601</v>
      </c>
      <c r="L2" s="913" t="s">
        <v>587</v>
      </c>
    </row>
    <row r="3" spans="1:12" ht="27" customHeight="1">
      <c r="A3" s="857"/>
      <c r="B3" s="857"/>
      <c r="C3" s="912"/>
      <c r="D3" s="912"/>
      <c r="E3" s="943">
        <v>2012</v>
      </c>
      <c r="F3" s="953"/>
      <c r="G3" s="25">
        <v>2013</v>
      </c>
      <c r="H3" s="24">
        <v>2014</v>
      </c>
      <c r="I3" s="24">
        <v>2015</v>
      </c>
      <c r="J3" s="24">
        <v>2016</v>
      </c>
      <c r="K3" s="914"/>
      <c r="L3" s="914"/>
    </row>
    <row r="4" spans="1:12" ht="23.25" customHeight="1">
      <c r="A4" s="857"/>
      <c r="B4" s="857"/>
      <c r="C4" s="857" t="s">
        <v>745</v>
      </c>
      <c r="D4" s="857" t="s">
        <v>239</v>
      </c>
      <c r="E4" s="857" t="s">
        <v>252</v>
      </c>
      <c r="F4" s="857"/>
      <c r="G4" s="857" t="s">
        <v>745</v>
      </c>
      <c r="H4" s="857" t="s">
        <v>745</v>
      </c>
      <c r="I4" s="857" t="s">
        <v>745</v>
      </c>
      <c r="J4" s="857" t="s">
        <v>745</v>
      </c>
      <c r="K4" s="915"/>
      <c r="L4" s="914"/>
    </row>
    <row r="5" spans="1:12" ht="17.25" customHeight="1">
      <c r="A5" s="857"/>
      <c r="B5" s="857"/>
      <c r="C5" s="857"/>
      <c r="D5" s="857"/>
      <c r="E5" s="475" t="s">
        <v>745</v>
      </c>
      <c r="F5" s="475" t="s">
        <v>239</v>
      </c>
      <c r="G5" s="857"/>
      <c r="H5" s="857"/>
      <c r="I5" s="857"/>
      <c r="J5" s="857"/>
      <c r="K5" s="24" t="s">
        <v>600</v>
      </c>
      <c r="L5" s="915"/>
    </row>
    <row r="6" spans="1:12" ht="15" customHeight="1">
      <c r="A6" s="513">
        <v>1</v>
      </c>
      <c r="B6" s="513">
        <v>2</v>
      </c>
      <c r="C6" s="513">
        <v>3</v>
      </c>
      <c r="D6" s="513">
        <v>4</v>
      </c>
      <c r="E6" s="513">
        <v>5</v>
      </c>
      <c r="F6" s="513">
        <v>6</v>
      </c>
      <c r="G6" s="513">
        <v>7</v>
      </c>
      <c r="H6" s="513">
        <v>8</v>
      </c>
      <c r="I6" s="513">
        <v>9</v>
      </c>
      <c r="J6" s="513">
        <v>10</v>
      </c>
      <c r="K6" s="513">
        <v>11</v>
      </c>
      <c r="L6" s="513">
        <v>12</v>
      </c>
    </row>
    <row r="7" spans="1:12" ht="68.25" customHeight="1">
      <c r="A7" s="13" t="s">
        <v>613</v>
      </c>
      <c r="B7" s="13" t="s">
        <v>278</v>
      </c>
      <c r="C7" s="17">
        <f aca="true" t="shared" si="0" ref="C7:C12">SUM(E7,G7:J7)</f>
        <v>31855.786164999998</v>
      </c>
      <c r="D7" s="16">
        <f>IF(C13=0,0,C7/C13)</f>
        <v>0.9116991755343489</v>
      </c>
      <c r="E7" s="17">
        <f>SUM(E8:E11)</f>
        <v>4760.35</v>
      </c>
      <c r="F7" s="16">
        <f>IF(E13=0,0,E7/E13)</f>
        <v>0.911699175534349</v>
      </c>
      <c r="G7" s="17">
        <f>SUM(G8:G11)</f>
        <v>5712.42</v>
      </c>
      <c r="H7" s="17">
        <f>SUM(H8:H11)</f>
        <v>6569.282999999999</v>
      </c>
      <c r="I7" s="17">
        <f>SUM(I8:I11)</f>
        <v>7226.2113</v>
      </c>
      <c r="J7" s="17">
        <f>SUM(J8:J11)</f>
        <v>7587.521865000001</v>
      </c>
      <c r="K7" s="950" t="s">
        <v>700</v>
      </c>
      <c r="L7" s="466"/>
    </row>
    <row r="8" spans="1:12" ht="28.5" customHeight="1">
      <c r="A8" s="13" t="s">
        <v>614</v>
      </c>
      <c r="B8" s="13" t="s">
        <v>592</v>
      </c>
      <c r="C8" s="17">
        <f t="shared" si="0"/>
        <v>11589.166258000001</v>
      </c>
      <c r="D8" s="16">
        <f>IF(C7=0,0,C8/C7)</f>
        <v>0.36380098102030317</v>
      </c>
      <c r="E8" s="18">
        <f>'6. Пров закупівлі'!F134</f>
        <v>1731.8200000000002</v>
      </c>
      <c r="F8" s="16">
        <f>IF(E7=0,0,E8/E7)</f>
        <v>0.3638009810203031</v>
      </c>
      <c r="G8" s="18">
        <f>E8*1.2</f>
        <v>2078.184</v>
      </c>
      <c r="H8" s="18">
        <f>G8*1.15</f>
        <v>2389.9116</v>
      </c>
      <c r="I8" s="18">
        <f>H8*1.1</f>
        <v>2628.90276</v>
      </c>
      <c r="J8" s="18">
        <f>I8*1.05</f>
        <v>2760.347898</v>
      </c>
      <c r="K8" s="951"/>
      <c r="L8" s="466"/>
    </row>
    <row r="9" spans="1:12" ht="15.75" customHeight="1">
      <c r="A9" s="13" t="s">
        <v>615</v>
      </c>
      <c r="B9" s="13" t="s">
        <v>593</v>
      </c>
      <c r="C9" s="17">
        <f t="shared" si="0"/>
        <v>20266.619907</v>
      </c>
      <c r="D9" s="16">
        <f>IF(C7=0,0,C9/C7)</f>
        <v>0.6361990189796969</v>
      </c>
      <c r="E9" s="18">
        <f>'6. Пров закупівлі'!F150</f>
        <v>3028.53</v>
      </c>
      <c r="F9" s="16">
        <f>IF(E7=0,0,E9/E7)</f>
        <v>0.6361990189796969</v>
      </c>
      <c r="G9" s="18">
        <f>E9*1.2</f>
        <v>3634.2360000000003</v>
      </c>
      <c r="H9" s="18">
        <f>G9*1.15</f>
        <v>4179.3714</v>
      </c>
      <c r="I9" s="18">
        <f>H9*1.1</f>
        <v>4597.30854</v>
      </c>
      <c r="J9" s="18">
        <f>I9*1.05</f>
        <v>4827.173967000001</v>
      </c>
      <c r="K9" s="951"/>
      <c r="L9" s="466"/>
    </row>
    <row r="10" spans="1:12" ht="15.75" customHeight="1">
      <c r="A10" s="13" t="s">
        <v>616</v>
      </c>
      <c r="B10" s="13" t="s">
        <v>594</v>
      </c>
      <c r="C10" s="17">
        <f t="shared" si="0"/>
        <v>0</v>
      </c>
      <c r="D10" s="16">
        <f>IF(C7=0,0,C10/C7)</f>
        <v>0</v>
      </c>
      <c r="E10" s="18">
        <v>0</v>
      </c>
      <c r="F10" s="16">
        <f>IF(E7=0,0,E10/E7)</f>
        <v>0</v>
      </c>
      <c r="G10" s="18">
        <f>E10*1.2</f>
        <v>0</v>
      </c>
      <c r="H10" s="18">
        <f>G10*1.15</f>
        <v>0</v>
      </c>
      <c r="I10" s="18">
        <f>H10*1.1</f>
        <v>0</v>
      </c>
      <c r="J10" s="18">
        <f>I10*1.05</f>
        <v>0</v>
      </c>
      <c r="K10" s="951"/>
      <c r="L10" s="466"/>
    </row>
    <row r="11" spans="1:12" ht="15.75" customHeight="1">
      <c r="A11" s="13" t="s">
        <v>617</v>
      </c>
      <c r="B11" s="13" t="s">
        <v>595</v>
      </c>
      <c r="C11" s="17">
        <f t="shared" si="0"/>
        <v>0</v>
      </c>
      <c r="D11" s="16">
        <f>IF(C7=0,0,C11/C7)</f>
        <v>0</v>
      </c>
      <c r="E11" s="18">
        <v>0</v>
      </c>
      <c r="F11" s="16">
        <f>IF(E7=0,0,E11/E7)</f>
        <v>0</v>
      </c>
      <c r="G11" s="18">
        <f>E11*1.2</f>
        <v>0</v>
      </c>
      <c r="H11" s="18">
        <f>G11*1.15</f>
        <v>0</v>
      </c>
      <c r="I11" s="18">
        <f>H11*1.1</f>
        <v>0</v>
      </c>
      <c r="J11" s="18">
        <f>I11*1.05</f>
        <v>0</v>
      </c>
      <c r="K11" s="951"/>
      <c r="L11" s="466"/>
    </row>
    <row r="12" spans="1:12" ht="15" customHeight="1">
      <c r="A12" s="13" t="s">
        <v>618</v>
      </c>
      <c r="B12" s="13" t="s">
        <v>249</v>
      </c>
      <c r="C12" s="17">
        <f t="shared" si="0"/>
        <v>3085.3293036295004</v>
      </c>
      <c r="D12" s="16">
        <f>IF(C13=0,0,C12/C13)</f>
        <v>0.08830082446565111</v>
      </c>
      <c r="E12" s="18">
        <f>'6. Пров закупівлі'!F159</f>
        <v>461.054305</v>
      </c>
      <c r="F12" s="16">
        <f>IF(E13=0,0,E12/E13)</f>
        <v>0.0883008244656511</v>
      </c>
      <c r="G12" s="18">
        <f>E12*1.2</f>
        <v>553.265166</v>
      </c>
      <c r="H12" s="18">
        <f>G12*1.15</f>
        <v>636.2549409</v>
      </c>
      <c r="I12" s="18">
        <f>H12*1.1</f>
        <v>699.88043499</v>
      </c>
      <c r="J12" s="18">
        <f>I12*1.05</f>
        <v>734.8744567395</v>
      </c>
      <c r="K12" s="951"/>
      <c r="L12" s="466"/>
    </row>
    <row r="13" spans="1:12" ht="15.75" customHeight="1">
      <c r="A13" s="13"/>
      <c r="B13" s="13" t="s">
        <v>304</v>
      </c>
      <c r="C13" s="17">
        <f aca="true" t="shared" si="1" ref="C13:J13">SUM(C7,C12)</f>
        <v>34941.1154686295</v>
      </c>
      <c r="D13" s="515">
        <f t="shared" si="1"/>
        <v>1</v>
      </c>
      <c r="E13" s="17">
        <f t="shared" si="1"/>
        <v>5221.404305</v>
      </c>
      <c r="F13" s="16">
        <f t="shared" si="1"/>
        <v>1</v>
      </c>
      <c r="G13" s="17">
        <f t="shared" si="1"/>
        <v>6265.685166</v>
      </c>
      <c r="H13" s="17">
        <f t="shared" si="1"/>
        <v>7205.5379409</v>
      </c>
      <c r="I13" s="17">
        <f t="shared" si="1"/>
        <v>7926.09173499</v>
      </c>
      <c r="J13" s="17">
        <f t="shared" si="1"/>
        <v>8322.396321739501</v>
      </c>
      <c r="K13" s="952"/>
      <c r="L13" s="466"/>
    </row>
    <row r="14" spans="5:6" ht="12.75">
      <c r="E14" s="40"/>
      <c r="F14" s="40"/>
    </row>
    <row r="15" spans="4:6" ht="12.75">
      <c r="D15" s="41"/>
      <c r="F15" s="41"/>
    </row>
    <row r="18" spans="5:8" ht="12.75">
      <c r="E18" s="41"/>
      <c r="F18" s="41"/>
      <c r="G18" s="41"/>
      <c r="H18" s="41"/>
    </row>
  </sheetData>
  <sheetProtection/>
  <mergeCells count="16">
    <mergeCell ref="E4:F4"/>
    <mergeCell ref="J4:J5"/>
    <mergeCell ref="A2:A5"/>
    <mergeCell ref="B2:B5"/>
    <mergeCell ref="H4:H5"/>
    <mergeCell ref="I4:I5"/>
    <mergeCell ref="K7:K13"/>
    <mergeCell ref="A1:L1"/>
    <mergeCell ref="L2:L5"/>
    <mergeCell ref="K2:K4"/>
    <mergeCell ref="C4:C5"/>
    <mergeCell ref="D4:D5"/>
    <mergeCell ref="E3:F3"/>
    <mergeCell ref="G4:G5"/>
    <mergeCell ref="C2:D3"/>
    <mergeCell ref="E2:J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SheetLayoutView="100" zoomScalePageLayoutView="0" workbookViewId="0" topLeftCell="A13">
      <selection activeCell="A54" sqref="A54:IV58"/>
    </sheetView>
  </sheetViews>
  <sheetFormatPr defaultColWidth="9.00390625" defaultRowHeight="12.75"/>
  <cols>
    <col min="1" max="1" width="3.75390625" style="64" customWidth="1"/>
    <col min="2" max="2" width="28.375" style="62" customWidth="1"/>
    <col min="3" max="3" width="14.125" style="62" customWidth="1"/>
    <col min="4" max="4" width="22.875" style="62" customWidth="1"/>
    <col min="5" max="5" width="19.75390625" style="62" customWidth="1"/>
    <col min="6" max="6" width="23.625" style="62" customWidth="1"/>
    <col min="7" max="7" width="21.125" style="62" customWidth="1"/>
    <col min="8" max="8" width="21.00390625" style="62" customWidth="1"/>
    <col min="9" max="9" width="10.625" style="62" customWidth="1"/>
    <col min="10" max="16384" width="9.125" style="62" customWidth="1"/>
  </cols>
  <sheetData>
    <row r="1" spans="1:9" ht="24" customHeight="1">
      <c r="A1" s="61"/>
      <c r="B1" s="59"/>
      <c r="C1" s="59"/>
      <c r="D1" s="59"/>
      <c r="E1" s="59"/>
      <c r="F1" s="59"/>
      <c r="G1" s="59"/>
      <c r="H1" s="59"/>
      <c r="I1" s="59"/>
    </row>
    <row r="2" spans="1:9" ht="20.25" customHeight="1">
      <c r="A2" s="954" t="s">
        <v>175</v>
      </c>
      <c r="B2" s="955"/>
      <c r="C2" s="955"/>
      <c r="D2" s="955"/>
      <c r="E2" s="955"/>
      <c r="F2" s="955"/>
      <c r="G2" s="955"/>
      <c r="H2" s="955"/>
      <c r="I2" s="956"/>
    </row>
    <row r="3" spans="1:9" ht="89.25" customHeight="1">
      <c r="A3" s="957" t="s">
        <v>176</v>
      </c>
      <c r="B3" s="958" t="s">
        <v>177</v>
      </c>
      <c r="C3" s="958" t="s">
        <v>178</v>
      </c>
      <c r="D3" s="516" t="s">
        <v>179</v>
      </c>
      <c r="E3" s="516" t="s">
        <v>180</v>
      </c>
      <c r="F3" s="516" t="s">
        <v>181</v>
      </c>
      <c r="G3" s="516" t="s">
        <v>182</v>
      </c>
      <c r="H3" s="516" t="s">
        <v>183</v>
      </c>
      <c r="I3" s="516" t="s">
        <v>587</v>
      </c>
    </row>
    <row r="4" spans="1:9" ht="13.5" customHeight="1">
      <c r="A4" s="957"/>
      <c r="B4" s="958"/>
      <c r="C4" s="958"/>
      <c r="D4" s="958" t="s">
        <v>744</v>
      </c>
      <c r="E4" s="958"/>
      <c r="F4" s="958"/>
      <c r="G4" s="958"/>
      <c r="H4" s="958"/>
      <c r="I4" s="517"/>
    </row>
    <row r="5" spans="1:9" ht="14.25">
      <c r="A5" s="518">
        <v>1</v>
      </c>
      <c r="B5" s="516">
        <v>2</v>
      </c>
      <c r="C5" s="516">
        <v>3</v>
      </c>
      <c r="D5" s="519">
        <v>4</v>
      </c>
      <c r="E5" s="519">
        <v>5</v>
      </c>
      <c r="F5" s="516">
        <v>6</v>
      </c>
      <c r="G5" s="516">
        <v>7</v>
      </c>
      <c r="H5" s="516">
        <v>8</v>
      </c>
      <c r="I5" s="520">
        <v>9</v>
      </c>
    </row>
    <row r="6" spans="1:9" ht="14.25">
      <c r="A6" s="518" t="s">
        <v>749</v>
      </c>
      <c r="B6" s="814" t="s">
        <v>430</v>
      </c>
      <c r="C6" s="814">
        <v>2004</v>
      </c>
      <c r="D6" s="815">
        <v>5120.239</v>
      </c>
      <c r="E6" s="815">
        <v>1808.984</v>
      </c>
      <c r="F6" s="521"/>
      <c r="G6" s="516"/>
      <c r="H6" s="516"/>
      <c r="I6" s="520"/>
    </row>
    <row r="7" spans="1:9" ht="14.25">
      <c r="A7" s="518" t="s">
        <v>782</v>
      </c>
      <c r="B7" s="814" t="s">
        <v>431</v>
      </c>
      <c r="C7" s="814">
        <v>2005</v>
      </c>
      <c r="D7" s="815">
        <v>3326.525</v>
      </c>
      <c r="E7" s="815">
        <v>2083.302</v>
      </c>
      <c r="F7" s="521"/>
      <c r="G7" s="516"/>
      <c r="H7" s="516"/>
      <c r="I7" s="520"/>
    </row>
    <row r="8" spans="1:9" ht="14.25">
      <c r="A8" s="518" t="s">
        <v>783</v>
      </c>
      <c r="B8" s="814" t="s">
        <v>432</v>
      </c>
      <c r="C8" s="814">
        <v>2006</v>
      </c>
      <c r="D8" s="815">
        <v>3554.816</v>
      </c>
      <c r="E8" s="815">
        <v>2834.238</v>
      </c>
      <c r="F8" s="521"/>
      <c r="G8" s="516"/>
      <c r="H8" s="516"/>
      <c r="I8" s="520"/>
    </row>
    <row r="9" spans="1:9" ht="14.25">
      <c r="A9" s="518" t="s">
        <v>784</v>
      </c>
      <c r="B9" s="814" t="s">
        <v>433</v>
      </c>
      <c r="C9" s="814">
        <v>2006</v>
      </c>
      <c r="D9" s="815">
        <v>5870.338</v>
      </c>
      <c r="E9" s="815">
        <v>2052.771</v>
      </c>
      <c r="F9" s="521"/>
      <c r="G9" s="516"/>
      <c r="H9" s="516"/>
      <c r="I9" s="520"/>
    </row>
    <row r="10" spans="1:9" ht="14.25">
      <c r="A10" s="518" t="s">
        <v>212</v>
      </c>
      <c r="B10" s="814" t="s">
        <v>434</v>
      </c>
      <c r="C10" s="814">
        <v>2007</v>
      </c>
      <c r="D10" s="815">
        <v>3748.33</v>
      </c>
      <c r="E10" s="815">
        <v>2039.968</v>
      </c>
      <c r="F10" s="521"/>
      <c r="G10" s="516"/>
      <c r="H10" s="516"/>
      <c r="I10" s="520"/>
    </row>
    <row r="11" spans="1:9" s="52" customFormat="1" ht="14.25">
      <c r="A11" s="518" t="s">
        <v>213</v>
      </c>
      <c r="B11" s="814" t="s">
        <v>435</v>
      </c>
      <c r="C11" s="814">
        <v>2007</v>
      </c>
      <c r="D11" s="815">
        <v>1123.549</v>
      </c>
      <c r="E11" s="815">
        <v>1278.741</v>
      </c>
      <c r="F11" s="521"/>
      <c r="G11" s="516"/>
      <c r="H11" s="516"/>
      <c r="I11" s="520"/>
    </row>
    <row r="12" spans="1:9" s="55" customFormat="1" ht="15">
      <c r="A12" s="518" t="s">
        <v>785</v>
      </c>
      <c r="B12" s="814" t="s">
        <v>436</v>
      </c>
      <c r="C12" s="814">
        <v>2008</v>
      </c>
      <c r="D12" s="815">
        <v>1562.101</v>
      </c>
      <c r="E12" s="815">
        <v>1309.29</v>
      </c>
      <c r="F12" s="521"/>
      <c r="G12" s="516"/>
      <c r="H12" s="516"/>
      <c r="I12" s="520"/>
    </row>
    <row r="13" spans="1:9" s="52" customFormat="1" ht="14.25">
      <c r="A13" s="518" t="s">
        <v>786</v>
      </c>
      <c r="B13" s="814" t="s">
        <v>435</v>
      </c>
      <c r="C13" s="814">
        <v>2008</v>
      </c>
      <c r="D13" s="814">
        <v>561.774</v>
      </c>
      <c r="E13" s="814">
        <v>347.15</v>
      </c>
      <c r="F13" s="521"/>
      <c r="G13" s="516"/>
      <c r="H13" s="516"/>
      <c r="I13" s="520"/>
    </row>
    <row r="14" spans="1:9" s="52" customFormat="1" ht="42.75">
      <c r="A14" s="518" t="s">
        <v>787</v>
      </c>
      <c r="B14" s="814" t="s">
        <v>458</v>
      </c>
      <c r="C14" s="816">
        <v>2008</v>
      </c>
      <c r="D14" s="817">
        <v>1288.151</v>
      </c>
      <c r="E14" s="818">
        <v>763.161</v>
      </c>
      <c r="F14" s="521"/>
      <c r="G14" s="516"/>
      <c r="H14" s="516"/>
      <c r="I14" s="520"/>
    </row>
    <row r="15" spans="1:9" s="52" customFormat="1" ht="14.25">
      <c r="A15" s="518" t="s">
        <v>788</v>
      </c>
      <c r="B15" s="819" t="s">
        <v>437</v>
      </c>
      <c r="C15" s="819">
        <v>2009</v>
      </c>
      <c r="D15" s="820">
        <v>2153.167</v>
      </c>
      <c r="E15" s="821">
        <v>1707.1</v>
      </c>
      <c r="F15" s="521"/>
      <c r="G15" s="516"/>
      <c r="H15" s="516"/>
      <c r="I15" s="520"/>
    </row>
    <row r="16" spans="1:9" s="52" customFormat="1" ht="14.25">
      <c r="A16" s="518" t="s">
        <v>789</v>
      </c>
      <c r="B16" s="819" t="s">
        <v>438</v>
      </c>
      <c r="C16" s="819">
        <v>2010</v>
      </c>
      <c r="D16" s="820">
        <v>2617.575</v>
      </c>
      <c r="E16" s="521">
        <v>2061.15</v>
      </c>
      <c r="F16" s="521"/>
      <c r="G16" s="516"/>
      <c r="H16" s="516"/>
      <c r="I16" s="520"/>
    </row>
    <row r="17" spans="1:9" s="52" customFormat="1" ht="14.25">
      <c r="A17" s="518" t="s">
        <v>194</v>
      </c>
      <c r="B17" s="822" t="s">
        <v>439</v>
      </c>
      <c r="C17" s="819">
        <v>2011</v>
      </c>
      <c r="D17" s="820">
        <v>1139.912</v>
      </c>
      <c r="E17" s="516"/>
      <c r="F17" s="516">
        <v>961.73</v>
      </c>
      <c r="G17" s="516">
        <v>356.51</v>
      </c>
      <c r="H17" s="820"/>
      <c r="I17" s="520"/>
    </row>
    <row r="18" spans="1:9" s="52" customFormat="1" ht="14.25">
      <c r="A18" s="518" t="s">
        <v>195</v>
      </c>
      <c r="B18" s="823" t="s">
        <v>440</v>
      </c>
      <c r="C18" s="819">
        <v>2011</v>
      </c>
      <c r="D18" s="820">
        <v>738.83</v>
      </c>
      <c r="E18" s="516"/>
      <c r="F18" s="516">
        <v>674.48</v>
      </c>
      <c r="G18" s="516">
        <v>92.67</v>
      </c>
      <c r="H18" s="522"/>
      <c r="I18" s="520"/>
    </row>
    <row r="19" spans="1:9" s="52" customFormat="1" ht="14.25">
      <c r="A19" s="518" t="s">
        <v>196</v>
      </c>
      <c r="B19" s="823" t="s">
        <v>441</v>
      </c>
      <c r="C19" s="819">
        <v>2012</v>
      </c>
      <c r="D19" s="820">
        <v>1329.9</v>
      </c>
      <c r="E19" s="523"/>
      <c r="F19" s="524"/>
      <c r="G19" s="524">
        <v>854.95</v>
      </c>
      <c r="H19" s="522"/>
      <c r="I19" s="520"/>
    </row>
    <row r="20" spans="1:9" s="52" customFormat="1" ht="14.25">
      <c r="A20" s="518" t="s">
        <v>197</v>
      </c>
      <c r="B20" s="814" t="s">
        <v>442</v>
      </c>
      <c r="C20" s="819">
        <v>2012</v>
      </c>
      <c r="D20" s="820">
        <v>295.68</v>
      </c>
      <c r="E20" s="523"/>
      <c r="F20" s="524"/>
      <c r="G20" s="524">
        <v>180.41</v>
      </c>
      <c r="H20" s="522"/>
      <c r="I20" s="520"/>
    </row>
    <row r="21" spans="1:9" s="52" customFormat="1" ht="14.25">
      <c r="A21" s="518" t="s">
        <v>459</v>
      </c>
      <c r="B21" s="823" t="s">
        <v>443</v>
      </c>
      <c r="C21" s="819">
        <v>2012</v>
      </c>
      <c r="D21" s="820">
        <v>1815.415</v>
      </c>
      <c r="E21" s="523"/>
      <c r="F21" s="524"/>
      <c r="G21" s="524">
        <v>2115.65</v>
      </c>
      <c r="H21" s="522"/>
      <c r="I21" s="520"/>
    </row>
    <row r="22" spans="1:9" s="52" customFormat="1" ht="14.25">
      <c r="A22" s="518" t="s">
        <v>198</v>
      </c>
      <c r="B22" s="823" t="s">
        <v>444</v>
      </c>
      <c r="C22" s="819">
        <v>2012</v>
      </c>
      <c r="D22" s="820">
        <v>1034.364</v>
      </c>
      <c r="E22" s="525"/>
      <c r="F22" s="516"/>
      <c r="G22" s="516">
        <v>1621.21</v>
      </c>
      <c r="H22" s="522"/>
      <c r="I22" s="520"/>
    </row>
    <row r="23" spans="1:9" s="52" customFormat="1" ht="14.25">
      <c r="A23" s="518" t="s">
        <v>199</v>
      </c>
      <c r="B23" s="823" t="s">
        <v>445</v>
      </c>
      <c r="C23" s="819">
        <v>2013</v>
      </c>
      <c r="D23" s="820">
        <v>3081.984</v>
      </c>
      <c r="E23" s="526"/>
      <c r="F23" s="516"/>
      <c r="G23" s="522"/>
      <c r="H23" s="522">
        <v>3081.984</v>
      </c>
      <c r="I23" s="520"/>
    </row>
    <row r="24" spans="1:9" s="52" customFormat="1" ht="14.25">
      <c r="A24" s="518" t="s">
        <v>554</v>
      </c>
      <c r="B24" s="823" t="s">
        <v>446</v>
      </c>
      <c r="C24" s="819">
        <v>2014</v>
      </c>
      <c r="D24" s="820">
        <v>3060.874</v>
      </c>
      <c r="E24" s="523"/>
      <c r="F24" s="516"/>
      <c r="G24" s="524"/>
      <c r="H24" s="522">
        <f>D24</f>
        <v>3060.874</v>
      </c>
      <c r="I24" s="520"/>
    </row>
    <row r="25" spans="1:9" s="52" customFormat="1" ht="14.25">
      <c r="A25" s="518" t="s">
        <v>555</v>
      </c>
      <c r="B25" s="822" t="s">
        <v>447</v>
      </c>
      <c r="C25" s="819">
        <v>2015</v>
      </c>
      <c r="D25" s="820">
        <v>4644.086</v>
      </c>
      <c r="E25" s="525"/>
      <c r="F25" s="516"/>
      <c r="G25" s="524"/>
      <c r="H25" s="522">
        <f aca="true" t="shared" si="0" ref="H25:H33">D25</f>
        <v>4644.086</v>
      </c>
      <c r="I25" s="520"/>
    </row>
    <row r="26" spans="1:9" s="52" customFormat="1" ht="14.25">
      <c r="A26" s="518" t="s">
        <v>556</v>
      </c>
      <c r="B26" s="823" t="s">
        <v>448</v>
      </c>
      <c r="C26" s="819">
        <v>2016</v>
      </c>
      <c r="D26" s="820">
        <v>1435.444</v>
      </c>
      <c r="E26" s="525"/>
      <c r="F26" s="516"/>
      <c r="G26" s="524"/>
      <c r="H26" s="522">
        <f t="shared" si="0"/>
        <v>1435.444</v>
      </c>
      <c r="I26" s="520"/>
    </row>
    <row r="27" spans="1:9" s="52" customFormat="1" ht="14.25">
      <c r="A27" s="518" t="s">
        <v>557</v>
      </c>
      <c r="B27" s="823" t="s">
        <v>449</v>
      </c>
      <c r="C27" s="819">
        <v>2017</v>
      </c>
      <c r="D27" s="820">
        <v>1118.802</v>
      </c>
      <c r="E27" s="525"/>
      <c r="F27" s="516"/>
      <c r="G27" s="524"/>
      <c r="H27" s="522">
        <f t="shared" si="0"/>
        <v>1118.802</v>
      </c>
      <c r="I27" s="520"/>
    </row>
    <row r="28" spans="1:9" ht="14.25">
      <c r="A28" s="518" t="s">
        <v>558</v>
      </c>
      <c r="B28" s="823" t="s">
        <v>450</v>
      </c>
      <c r="C28" s="819">
        <v>2017</v>
      </c>
      <c r="D28" s="820">
        <v>1477.663</v>
      </c>
      <c r="E28" s="525"/>
      <c r="F28" s="516"/>
      <c r="G28" s="524"/>
      <c r="H28" s="522">
        <f t="shared" si="0"/>
        <v>1477.663</v>
      </c>
      <c r="I28" s="520"/>
    </row>
    <row r="29" spans="1:9" ht="14.25">
      <c r="A29" s="518" t="s">
        <v>559</v>
      </c>
      <c r="B29" s="823" t="s">
        <v>451</v>
      </c>
      <c r="C29" s="819">
        <v>2018</v>
      </c>
      <c r="D29" s="819">
        <v>844.379</v>
      </c>
      <c r="E29" s="525"/>
      <c r="F29" s="516"/>
      <c r="G29" s="524"/>
      <c r="H29" s="522">
        <f t="shared" si="0"/>
        <v>844.379</v>
      </c>
      <c r="I29" s="520"/>
    </row>
    <row r="30" spans="1:9" ht="14.25">
      <c r="A30" s="518" t="s">
        <v>560</v>
      </c>
      <c r="B30" s="823" t="s">
        <v>452</v>
      </c>
      <c r="C30" s="819">
        <v>2018</v>
      </c>
      <c r="D30" s="819">
        <v>591.065</v>
      </c>
      <c r="E30" s="525"/>
      <c r="F30" s="516"/>
      <c r="G30" s="524"/>
      <c r="H30" s="522">
        <f t="shared" si="0"/>
        <v>591.065</v>
      </c>
      <c r="I30" s="520"/>
    </row>
    <row r="31" spans="1:9" ht="14.25">
      <c r="A31" s="518" t="s">
        <v>561</v>
      </c>
      <c r="B31" s="823" t="s">
        <v>453</v>
      </c>
      <c r="C31" s="819">
        <v>2018</v>
      </c>
      <c r="D31" s="819">
        <v>548.846</v>
      </c>
      <c r="E31" s="525"/>
      <c r="F31" s="516"/>
      <c r="G31" s="524"/>
      <c r="H31" s="522">
        <f t="shared" si="0"/>
        <v>548.846</v>
      </c>
      <c r="I31" s="520"/>
    </row>
    <row r="32" spans="1:9" ht="14.25">
      <c r="A32" s="518" t="s">
        <v>562</v>
      </c>
      <c r="B32" s="822" t="s">
        <v>454</v>
      </c>
      <c r="C32" s="819">
        <v>2019</v>
      </c>
      <c r="D32" s="820">
        <v>1920.962</v>
      </c>
      <c r="E32" s="527"/>
      <c r="F32" s="528"/>
      <c r="G32" s="529"/>
      <c r="H32" s="522">
        <f t="shared" si="0"/>
        <v>1920.962</v>
      </c>
      <c r="I32" s="530"/>
    </row>
    <row r="33" spans="1:9" ht="14.25">
      <c r="A33" s="518" t="s">
        <v>563</v>
      </c>
      <c r="B33" s="823" t="s">
        <v>455</v>
      </c>
      <c r="C33" s="819">
        <v>2019</v>
      </c>
      <c r="D33" s="819">
        <v>422.19</v>
      </c>
      <c r="E33" s="527"/>
      <c r="F33" s="528"/>
      <c r="G33" s="529"/>
      <c r="H33" s="522">
        <f t="shared" si="0"/>
        <v>422.19</v>
      </c>
      <c r="I33" s="530"/>
    </row>
    <row r="34" spans="1:9" ht="18" customHeight="1">
      <c r="A34" s="518"/>
      <c r="B34" s="824" t="s">
        <v>201</v>
      </c>
      <c r="C34" s="825"/>
      <c r="D34" s="826">
        <f>SUM(D6:D33)</f>
        <v>56426.96100000002</v>
      </c>
      <c r="E34" s="826">
        <f>SUM(E6:E33)</f>
        <v>18285.855000000003</v>
      </c>
      <c r="F34" s="826">
        <f>SUM(F6:F33)</f>
        <v>1636.21</v>
      </c>
      <c r="G34" s="826">
        <f>SUM(G6:G33)</f>
        <v>5221.400000000001</v>
      </c>
      <c r="H34" s="531">
        <f>SUM(H6:H33)</f>
        <v>19146.295</v>
      </c>
      <c r="I34" s="532"/>
    </row>
    <row r="35" spans="1:9" ht="12.75">
      <c r="A35" s="533"/>
      <c r="B35" s="67"/>
      <c r="C35" s="67"/>
      <c r="D35" s="67"/>
      <c r="E35" s="67"/>
      <c r="F35" s="67"/>
      <c r="G35" s="67"/>
      <c r="H35" s="67"/>
      <c r="I35" s="67"/>
    </row>
    <row r="36" spans="1:9" ht="15" hidden="1">
      <c r="A36" s="534" t="s">
        <v>202</v>
      </c>
      <c r="B36" s="534"/>
      <c r="C36" s="67"/>
      <c r="D36" s="535" t="s">
        <v>151</v>
      </c>
      <c r="E36" s="535"/>
      <c r="F36" s="535"/>
      <c r="G36" s="536" t="s">
        <v>326</v>
      </c>
      <c r="H36" s="535"/>
      <c r="I36" s="535"/>
    </row>
    <row r="37" spans="1:9" ht="14.25" hidden="1">
      <c r="A37" s="537"/>
      <c r="B37" s="537"/>
      <c r="C37" s="538"/>
      <c r="D37" s="535" t="s">
        <v>152</v>
      </c>
      <c r="E37" s="535"/>
      <c r="F37" s="535"/>
      <c r="G37" s="535" t="s">
        <v>315</v>
      </c>
      <c r="H37" s="535"/>
      <c r="I37" s="535"/>
    </row>
    <row r="38" spans="1:9" ht="12.75" hidden="1">
      <c r="A38" s="539"/>
      <c r="B38" s="539"/>
      <c r="C38" s="67"/>
      <c r="D38" s="67"/>
      <c r="E38" s="67"/>
      <c r="F38" s="67"/>
      <c r="G38" s="67"/>
      <c r="H38" s="67"/>
      <c r="I38" s="67"/>
    </row>
    <row r="39" spans="1:9" ht="12.75" hidden="1">
      <c r="A39" s="959" t="s">
        <v>153</v>
      </c>
      <c r="B39" s="959"/>
      <c r="C39" s="959"/>
      <c r="D39" s="959"/>
      <c r="E39" s="540"/>
      <c r="F39" s="67"/>
      <c r="G39" s="67"/>
      <c r="H39" s="67"/>
      <c r="I39" s="67"/>
    </row>
    <row r="40" spans="1:9" ht="12.75" hidden="1">
      <c r="A40" s="541"/>
      <c r="B40" s="541"/>
      <c r="C40" s="67"/>
      <c r="D40" s="67"/>
      <c r="E40" s="67"/>
      <c r="F40" s="67"/>
      <c r="G40" s="67"/>
      <c r="H40" s="67"/>
      <c r="I40" s="67"/>
    </row>
    <row r="41" spans="1:9" ht="12.75" hidden="1">
      <c r="A41" s="541" t="s">
        <v>316</v>
      </c>
      <c r="B41" s="541"/>
      <c r="C41" s="67"/>
      <c r="D41" s="67"/>
      <c r="E41" s="67"/>
      <c r="F41" s="67"/>
      <c r="G41" s="67"/>
      <c r="H41" s="67"/>
      <c r="I41" s="67"/>
    </row>
    <row r="42" spans="1:9" ht="12.75" hidden="1">
      <c r="A42" s="67"/>
      <c r="B42" s="67"/>
      <c r="C42" s="67"/>
      <c r="D42" s="67"/>
      <c r="E42" s="67"/>
      <c r="F42" s="67"/>
      <c r="G42" s="67"/>
      <c r="H42" s="67"/>
      <c r="I42" s="67"/>
    </row>
    <row r="43" spans="1:9" ht="12.75" hidden="1">
      <c r="A43" s="67"/>
      <c r="B43" s="67"/>
      <c r="C43" s="67"/>
      <c r="D43" s="67"/>
      <c r="E43" s="67"/>
      <c r="F43" s="67"/>
      <c r="G43" s="67"/>
      <c r="H43" s="67"/>
      <c r="I43" s="67"/>
    </row>
    <row r="44" spans="1:9" ht="15" hidden="1">
      <c r="A44" s="534" t="s">
        <v>203</v>
      </c>
      <c r="B44" s="534"/>
      <c r="C44" s="67"/>
      <c r="D44" s="535" t="s">
        <v>151</v>
      </c>
      <c r="E44" s="535"/>
      <c r="F44" s="535"/>
      <c r="G44" s="536" t="s">
        <v>204</v>
      </c>
      <c r="H44" s="67"/>
      <c r="I44" s="67"/>
    </row>
    <row r="45" spans="1:9" ht="14.25" hidden="1">
      <c r="A45" s="537"/>
      <c r="B45" s="537"/>
      <c r="C45" s="538"/>
      <c r="D45" s="535" t="s">
        <v>152</v>
      </c>
      <c r="E45" s="535"/>
      <c r="F45" s="535"/>
      <c r="G45" s="535" t="s">
        <v>315</v>
      </c>
      <c r="H45" s="67"/>
      <c r="I45" s="67"/>
    </row>
    <row r="46" spans="1:9" ht="12.75" hidden="1">
      <c r="A46" s="539"/>
      <c r="B46" s="539"/>
      <c r="C46" s="67"/>
      <c r="D46" s="67"/>
      <c r="E46" s="67"/>
      <c r="F46" s="67"/>
      <c r="G46" s="67"/>
      <c r="H46" s="67"/>
      <c r="I46" s="67"/>
    </row>
    <row r="47" spans="1:9" ht="12.75" hidden="1">
      <c r="A47" s="959" t="s">
        <v>153</v>
      </c>
      <c r="B47" s="959"/>
      <c r="C47" s="959"/>
      <c r="D47" s="959"/>
      <c r="E47" s="540"/>
      <c r="F47" s="67"/>
      <c r="G47" s="67"/>
      <c r="H47" s="67"/>
      <c r="I47" s="67"/>
    </row>
    <row r="48" spans="1:9" ht="12.75">
      <c r="A48" s="67"/>
      <c r="B48" s="67"/>
      <c r="C48" s="67"/>
      <c r="D48" s="67"/>
      <c r="E48" s="67"/>
      <c r="F48" s="67"/>
      <c r="G48" s="67"/>
      <c r="H48" s="67"/>
      <c r="I48" s="67"/>
    </row>
    <row r="49" spans="1:7" ht="12.75">
      <c r="A49" s="50"/>
      <c r="B49" s="50"/>
      <c r="C49" s="50"/>
      <c r="D49" s="50"/>
      <c r="E49" s="50"/>
      <c r="F49" s="50"/>
      <c r="G49" s="50"/>
    </row>
    <row r="50" spans="2:8" ht="15">
      <c r="B50" s="534" t="s">
        <v>202</v>
      </c>
      <c r="C50" s="534"/>
      <c r="D50" s="538"/>
      <c r="E50" s="629" t="s">
        <v>151</v>
      </c>
      <c r="F50" s="693"/>
      <c r="G50" s="687" t="s">
        <v>326</v>
      </c>
      <c r="H50" s="693"/>
    </row>
    <row r="51" spans="2:8" ht="14.25">
      <c r="B51" s="537"/>
      <c r="C51" s="537"/>
      <c r="D51" s="538"/>
      <c r="E51" s="629" t="s">
        <v>152</v>
      </c>
      <c r="F51" s="693"/>
      <c r="G51" s="629" t="s">
        <v>315</v>
      </c>
      <c r="H51" s="693"/>
    </row>
    <row r="52" spans="2:8" ht="14.25">
      <c r="B52" s="537"/>
      <c r="C52" s="537"/>
      <c r="D52" s="538"/>
      <c r="E52" s="538"/>
      <c r="F52" s="538"/>
      <c r="G52" s="538"/>
      <c r="H52" s="693"/>
    </row>
    <row r="53" spans="2:8" ht="14.25">
      <c r="B53" s="693"/>
      <c r="C53" s="693"/>
      <c r="D53" s="693"/>
      <c r="E53" s="693"/>
      <c r="F53" s="693"/>
      <c r="G53" s="693"/>
      <c r="H53" s="693"/>
    </row>
    <row r="54" spans="2:8" ht="15" hidden="1">
      <c r="B54" s="534" t="s">
        <v>203</v>
      </c>
      <c r="C54" s="538"/>
      <c r="D54" s="538"/>
      <c r="E54" s="629" t="s">
        <v>151</v>
      </c>
      <c r="F54" s="538"/>
      <c r="G54" s="687" t="s">
        <v>204</v>
      </c>
      <c r="H54" s="693"/>
    </row>
    <row r="55" spans="2:8" ht="14.25" hidden="1">
      <c r="B55" s="538"/>
      <c r="C55" s="538"/>
      <c r="D55" s="538"/>
      <c r="E55" s="629" t="s">
        <v>152</v>
      </c>
      <c r="F55" s="538"/>
      <c r="G55" s="629" t="s">
        <v>315</v>
      </c>
      <c r="H55" s="693"/>
    </row>
    <row r="56" spans="2:8" ht="14.25" hidden="1">
      <c r="B56" s="538"/>
      <c r="C56" s="538"/>
      <c r="D56" s="538"/>
      <c r="E56" s="538"/>
      <c r="F56" s="538"/>
      <c r="G56" s="538"/>
      <c r="H56" s="693"/>
    </row>
    <row r="57" spans="2:8" ht="14.25" hidden="1">
      <c r="B57" s="871" t="s">
        <v>153</v>
      </c>
      <c r="C57" s="871"/>
      <c r="D57" s="871"/>
      <c r="E57" s="871"/>
      <c r="F57" s="538"/>
      <c r="G57" s="538"/>
      <c r="H57" s="693"/>
    </row>
    <row r="58" spans="2:8" ht="14.25" hidden="1">
      <c r="B58" s="631" t="s">
        <v>316</v>
      </c>
      <c r="C58" s="538"/>
      <c r="D58" s="538"/>
      <c r="E58" s="538"/>
      <c r="F58" s="538"/>
      <c r="G58" s="538"/>
      <c r="H58" s="693"/>
    </row>
    <row r="59" spans="2:8" ht="14.25">
      <c r="B59" s="693"/>
      <c r="C59" s="693"/>
      <c r="D59" s="693"/>
      <c r="E59" s="693"/>
      <c r="F59" s="693"/>
      <c r="G59" s="693"/>
      <c r="H59" s="693"/>
    </row>
    <row r="60" spans="2:8" ht="14.25">
      <c r="B60" s="693"/>
      <c r="C60" s="693"/>
      <c r="D60" s="693"/>
      <c r="E60" s="693"/>
      <c r="F60" s="693"/>
      <c r="G60" s="693"/>
      <c r="H60" s="693"/>
    </row>
  </sheetData>
  <sheetProtection/>
  <mergeCells count="8">
    <mergeCell ref="B57:E57"/>
    <mergeCell ref="A39:D39"/>
    <mergeCell ref="A47:D47"/>
    <mergeCell ref="A2:I2"/>
    <mergeCell ref="A3:A4"/>
    <mergeCell ref="B3:B4"/>
    <mergeCell ref="C3:C4"/>
    <mergeCell ref="D4:H4"/>
  </mergeCells>
  <printOptions/>
  <pageMargins left="0.45" right="0.32" top="0.76" bottom="1" header="0.45" footer="0.5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L23"/>
  <sheetViews>
    <sheetView showZeros="0" zoomScalePageLayoutView="0" workbookViewId="0" topLeftCell="A1">
      <selection activeCell="K7" sqref="K7:K23"/>
    </sheetView>
  </sheetViews>
  <sheetFormatPr defaultColWidth="9.00390625" defaultRowHeight="12.75"/>
  <cols>
    <col min="1" max="1" width="9.125" style="3" customWidth="1"/>
    <col min="2" max="2" width="28.375" style="3" customWidth="1"/>
    <col min="3" max="3" width="14.00390625" style="3" customWidth="1"/>
    <col min="4" max="4" width="9.375" style="3" customWidth="1"/>
    <col min="5" max="5" width="13.875" style="3" customWidth="1"/>
    <col min="6" max="6" width="9.75390625" style="3" customWidth="1"/>
    <col min="7" max="7" width="11.25390625" style="3" customWidth="1"/>
    <col min="8" max="8" width="11.00390625" style="3" customWidth="1"/>
    <col min="9" max="9" width="11.375" style="3" customWidth="1"/>
    <col min="10" max="10" width="11.25390625" style="3" customWidth="1"/>
    <col min="11" max="11" width="20.375" style="3" customWidth="1"/>
    <col min="12" max="12" width="10.00390625" style="3" customWidth="1"/>
    <col min="13" max="16384" width="9.125" style="3" customWidth="1"/>
  </cols>
  <sheetData>
    <row r="1" spans="1:12" ht="30" customHeight="1">
      <c r="A1" s="854" t="s">
        <v>643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6"/>
    </row>
    <row r="2" spans="1:12" ht="15.75" customHeight="1">
      <c r="A2" s="913" t="s">
        <v>236</v>
      </c>
      <c r="B2" s="913" t="s">
        <v>251</v>
      </c>
      <c r="C2" s="912" t="s">
        <v>539</v>
      </c>
      <c r="D2" s="912"/>
      <c r="E2" s="919" t="s">
        <v>238</v>
      </c>
      <c r="F2" s="960"/>
      <c r="G2" s="960"/>
      <c r="H2" s="960"/>
      <c r="I2" s="960"/>
      <c r="J2" s="920"/>
      <c r="K2" s="913" t="s">
        <v>601</v>
      </c>
      <c r="L2" s="913" t="s">
        <v>587</v>
      </c>
    </row>
    <row r="3" spans="1:12" ht="27.75" customHeight="1">
      <c r="A3" s="914"/>
      <c r="B3" s="914"/>
      <c r="C3" s="912"/>
      <c r="D3" s="912"/>
      <c r="E3" s="961">
        <v>2012</v>
      </c>
      <c r="F3" s="945"/>
      <c r="G3" s="24">
        <v>2013</v>
      </c>
      <c r="H3" s="24">
        <v>2014</v>
      </c>
      <c r="I3" s="24">
        <v>2015</v>
      </c>
      <c r="J3" s="24">
        <v>2016</v>
      </c>
      <c r="K3" s="914"/>
      <c r="L3" s="914"/>
    </row>
    <row r="4" spans="1:12" ht="27.75" customHeight="1">
      <c r="A4" s="914"/>
      <c r="B4" s="914"/>
      <c r="C4" s="913" t="s">
        <v>745</v>
      </c>
      <c r="D4" s="913" t="s">
        <v>239</v>
      </c>
      <c r="E4" s="919" t="s">
        <v>252</v>
      </c>
      <c r="F4" s="920"/>
      <c r="G4" s="913" t="s">
        <v>745</v>
      </c>
      <c r="H4" s="913" t="s">
        <v>745</v>
      </c>
      <c r="I4" s="913" t="s">
        <v>745</v>
      </c>
      <c r="J4" s="913" t="s">
        <v>745</v>
      </c>
      <c r="K4" s="915"/>
      <c r="L4" s="914"/>
    </row>
    <row r="5" spans="1:12" ht="18.75" customHeight="1">
      <c r="A5" s="915"/>
      <c r="B5" s="915"/>
      <c r="C5" s="915"/>
      <c r="D5" s="915"/>
      <c r="E5" s="475" t="s">
        <v>745</v>
      </c>
      <c r="F5" s="475" t="s">
        <v>239</v>
      </c>
      <c r="G5" s="915"/>
      <c r="H5" s="915"/>
      <c r="I5" s="915"/>
      <c r="J5" s="915"/>
      <c r="K5" s="24" t="s">
        <v>600</v>
      </c>
      <c r="L5" s="915"/>
    </row>
    <row r="6" spans="1:12" ht="12.75">
      <c r="A6" s="513">
        <v>1</v>
      </c>
      <c r="B6" s="513">
        <v>2</v>
      </c>
      <c r="C6" s="513">
        <v>3</v>
      </c>
      <c r="D6" s="513">
        <v>4</v>
      </c>
      <c r="E6" s="513">
        <v>5</v>
      </c>
      <c r="F6" s="513">
        <v>6</v>
      </c>
      <c r="G6" s="513">
        <v>7</v>
      </c>
      <c r="H6" s="513">
        <v>8</v>
      </c>
      <c r="I6" s="513">
        <v>9</v>
      </c>
      <c r="J6" s="513">
        <v>10</v>
      </c>
      <c r="K6" s="513">
        <v>11</v>
      </c>
      <c r="L6" s="513">
        <v>12</v>
      </c>
    </row>
    <row r="7" spans="1:12" ht="41.25" customHeight="1">
      <c r="A7" s="13" t="s">
        <v>619</v>
      </c>
      <c r="B7" s="542" t="s">
        <v>283</v>
      </c>
      <c r="C7" s="17">
        <f aca="true" t="shared" si="0" ref="C7:C12">SUM(E7,G7:J7)</f>
        <v>22935.199862278</v>
      </c>
      <c r="D7" s="16">
        <f>IF(C23=0,0,C7/C23)</f>
        <v>0.5727732432220678</v>
      </c>
      <c r="E7" s="17">
        <f>SUM(E8:E11)</f>
        <v>3427.3076200000005</v>
      </c>
      <c r="F7" s="16">
        <f>IF(E23=0,0,E7/E23)</f>
        <v>0.5727732432220677</v>
      </c>
      <c r="G7" s="17">
        <f>SUM(G8:G11)</f>
        <v>4112.769144</v>
      </c>
      <c r="H7" s="17">
        <f>SUM(H8:H11)</f>
        <v>4729.6845156</v>
      </c>
      <c r="I7" s="17">
        <f>SUM(I8:I11)</f>
        <v>5202.65296716</v>
      </c>
      <c r="J7" s="17">
        <f>SUM(J8:J11)</f>
        <v>5462.785615518</v>
      </c>
      <c r="K7" s="950" t="s">
        <v>701</v>
      </c>
      <c r="L7" s="543"/>
    </row>
    <row r="8" spans="1:12" ht="25.5">
      <c r="A8" s="13" t="s">
        <v>620</v>
      </c>
      <c r="B8" s="13" t="s">
        <v>284</v>
      </c>
      <c r="C8" s="17">
        <f t="shared" si="0"/>
        <v>10524.35113</v>
      </c>
      <c r="D8" s="16">
        <f>IF(C7=0,0,C8/C7)</f>
        <v>0.4588733123407229</v>
      </c>
      <c r="E8" s="18">
        <f>'6. Пров закупівлі'!F167</f>
        <v>1572.7</v>
      </c>
      <c r="F8" s="16">
        <f>IF(E7=0,0,E8/E7)</f>
        <v>0.4588733123407229</v>
      </c>
      <c r="G8" s="18">
        <f>E8*1.2</f>
        <v>1887.24</v>
      </c>
      <c r="H8" s="18">
        <f>G8*1.15</f>
        <v>2170.326</v>
      </c>
      <c r="I8" s="18">
        <f>H8*1.1</f>
        <v>2387.3586</v>
      </c>
      <c r="J8" s="18">
        <f>I8*1.05</f>
        <v>2506.72653</v>
      </c>
      <c r="K8" s="951"/>
      <c r="L8" s="543"/>
    </row>
    <row r="9" spans="1:12" ht="25.5">
      <c r="A9" s="13" t="s">
        <v>621</v>
      </c>
      <c r="B9" s="13" t="s">
        <v>285</v>
      </c>
      <c r="C9" s="17">
        <f t="shared" si="0"/>
        <v>0</v>
      </c>
      <c r="D9" s="16">
        <f>IF(C7=0,0,C9/C7)</f>
        <v>0</v>
      </c>
      <c r="E9" s="18"/>
      <c r="F9" s="16">
        <f>IF(E7=0,0,E9/E7)</f>
        <v>0</v>
      </c>
      <c r="G9" s="18"/>
      <c r="H9" s="18"/>
      <c r="I9" s="18"/>
      <c r="J9" s="18"/>
      <c r="K9" s="951"/>
      <c r="L9" s="543"/>
    </row>
    <row r="10" spans="1:12" ht="25.5">
      <c r="A10" s="13" t="s">
        <v>622</v>
      </c>
      <c r="B10" s="13" t="s">
        <v>286</v>
      </c>
      <c r="C10" s="17">
        <f t="shared" si="0"/>
        <v>0</v>
      </c>
      <c r="D10" s="16">
        <f>IF(C7=0,0,C10/C7)</f>
        <v>0</v>
      </c>
      <c r="E10" s="18"/>
      <c r="F10" s="16">
        <f>IF(E7=0,0,E10/E7)</f>
        <v>0</v>
      </c>
      <c r="G10" s="18"/>
      <c r="H10" s="18"/>
      <c r="I10" s="18"/>
      <c r="J10" s="18"/>
      <c r="K10" s="951"/>
      <c r="L10" s="543"/>
    </row>
    <row r="11" spans="1:12" ht="12.75">
      <c r="A11" s="13" t="s">
        <v>623</v>
      </c>
      <c r="B11" s="13" t="s">
        <v>287</v>
      </c>
      <c r="C11" s="17">
        <f t="shared" si="0"/>
        <v>12410.848732278</v>
      </c>
      <c r="D11" s="16">
        <f>IF(C7=0,0,C11/C7)</f>
        <v>0.541126687659277</v>
      </c>
      <c r="E11" s="18">
        <f>'6. Пров закупівлі'!F183</f>
        <v>1854.6076200000002</v>
      </c>
      <c r="F11" s="16">
        <f>IF(E7=0,0,E11/E7)</f>
        <v>0.541126687659277</v>
      </c>
      <c r="G11" s="18">
        <f>E11*1.2</f>
        <v>2225.529144</v>
      </c>
      <c r="H11" s="18">
        <f>G11*1.15</f>
        <v>2559.3585156</v>
      </c>
      <c r="I11" s="18">
        <f>H11*1.1</f>
        <v>2815.29436716</v>
      </c>
      <c r="J11" s="18">
        <f>I11*1.05</f>
        <v>2956.0590855180003</v>
      </c>
      <c r="K11" s="951"/>
      <c r="L11" s="466"/>
    </row>
    <row r="12" spans="1:12" ht="25.5">
      <c r="A12" s="13" t="s">
        <v>624</v>
      </c>
      <c r="B12" s="542" t="s">
        <v>288</v>
      </c>
      <c r="C12" s="17">
        <f t="shared" si="0"/>
        <v>17107.17316</v>
      </c>
      <c r="D12" s="16">
        <f>IF(C23=0,0,C12/C23)</f>
        <v>0.42722675677793226</v>
      </c>
      <c r="E12" s="17">
        <f>SUM(E13:E17)</f>
        <v>2556.4</v>
      </c>
      <c r="F12" s="16">
        <f>IF(E23=0,0,E12/E23)</f>
        <v>0.4272267567779322</v>
      </c>
      <c r="G12" s="17">
        <f>SUM(G13:G17)</f>
        <v>3067.68</v>
      </c>
      <c r="H12" s="17">
        <f>SUM(H13:H17)</f>
        <v>3527.8319999999994</v>
      </c>
      <c r="I12" s="17">
        <f>SUM(I13:I17)</f>
        <v>3880.6151999999997</v>
      </c>
      <c r="J12" s="17">
        <f>SUM(J13:J17)</f>
        <v>4074.64596</v>
      </c>
      <c r="K12" s="951"/>
      <c r="L12" s="466"/>
    </row>
    <row r="13" spans="1:12" ht="12.75">
      <c r="A13" s="13" t="s">
        <v>625</v>
      </c>
      <c r="B13" s="13" t="s">
        <v>289</v>
      </c>
      <c r="C13" s="17">
        <f aca="true" t="shared" si="1" ref="C13:C22">SUM(E13,G13:J13)</f>
        <v>0</v>
      </c>
      <c r="D13" s="16">
        <f>IF(C12=0,0,C13/C12)</f>
        <v>0</v>
      </c>
      <c r="E13" s="18"/>
      <c r="F13" s="16">
        <f>IF(E12=0,0,E13/E12)</f>
        <v>0</v>
      </c>
      <c r="G13" s="18">
        <f>E13*1.5</f>
        <v>0</v>
      </c>
      <c r="H13" s="18">
        <f aca="true" t="shared" si="2" ref="H13:J16">G13*1.5</f>
        <v>0</v>
      </c>
      <c r="I13" s="18">
        <f t="shared" si="2"/>
        <v>0</v>
      </c>
      <c r="J13" s="18">
        <f t="shared" si="2"/>
        <v>0</v>
      </c>
      <c r="K13" s="951"/>
      <c r="L13" s="466"/>
    </row>
    <row r="14" spans="1:12" ht="12.75">
      <c r="A14" s="13" t="s">
        <v>626</v>
      </c>
      <c r="B14" s="13" t="s">
        <v>290</v>
      </c>
      <c r="C14" s="17">
        <f t="shared" si="1"/>
        <v>0</v>
      </c>
      <c r="D14" s="16">
        <f>IF(C12=0,0,C14/C12)</f>
        <v>0</v>
      </c>
      <c r="E14" s="18"/>
      <c r="F14" s="16">
        <f>IF(E12=0,0,E14/E12)</f>
        <v>0</v>
      </c>
      <c r="G14" s="18">
        <f>E14*1.5</f>
        <v>0</v>
      </c>
      <c r="H14" s="18">
        <f t="shared" si="2"/>
        <v>0</v>
      </c>
      <c r="I14" s="18">
        <f t="shared" si="2"/>
        <v>0</v>
      </c>
      <c r="J14" s="18">
        <f t="shared" si="2"/>
        <v>0</v>
      </c>
      <c r="K14" s="951"/>
      <c r="L14" s="466"/>
    </row>
    <row r="15" spans="1:12" ht="12.75">
      <c r="A15" s="13" t="s">
        <v>627</v>
      </c>
      <c r="B15" s="13" t="s">
        <v>291</v>
      </c>
      <c r="C15" s="17">
        <f t="shared" si="1"/>
        <v>0</v>
      </c>
      <c r="D15" s="16">
        <f>IF(C12=0,0,C15/C12)</f>
        <v>0</v>
      </c>
      <c r="E15" s="18"/>
      <c r="F15" s="16">
        <f>IF(E12=0,0,E15/E12)</f>
        <v>0</v>
      </c>
      <c r="G15" s="18">
        <f>E15*1.5</f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951"/>
      <c r="L15" s="466"/>
    </row>
    <row r="16" spans="1:12" ht="12.75">
      <c r="A16" s="13" t="s">
        <v>628</v>
      </c>
      <c r="B16" s="13" t="s">
        <v>292</v>
      </c>
      <c r="C16" s="17">
        <f t="shared" si="1"/>
        <v>0</v>
      </c>
      <c r="D16" s="16">
        <f>IF(C12=0,0,C16/C12)</f>
        <v>0</v>
      </c>
      <c r="E16" s="18"/>
      <c r="F16" s="16">
        <f>IF(E12=0,0,E16/E12)</f>
        <v>0</v>
      </c>
      <c r="G16" s="18">
        <f>E16*1.5</f>
        <v>0</v>
      </c>
      <c r="H16" s="18">
        <f t="shared" si="2"/>
        <v>0</v>
      </c>
      <c r="I16" s="18">
        <f t="shared" si="2"/>
        <v>0</v>
      </c>
      <c r="J16" s="18">
        <f t="shared" si="2"/>
        <v>0</v>
      </c>
      <c r="K16" s="951"/>
      <c r="L16" s="466"/>
    </row>
    <row r="17" spans="1:12" ht="12.75">
      <c r="A17" s="13" t="s">
        <v>629</v>
      </c>
      <c r="B17" s="13" t="s">
        <v>293</v>
      </c>
      <c r="C17" s="17">
        <f>SUM(E17,G17:J17)</f>
        <v>17107.17316</v>
      </c>
      <c r="D17" s="16">
        <f>IF(C12=0,0,C17/C12)</f>
        <v>1</v>
      </c>
      <c r="E17" s="18">
        <f>'6. Пров закупівлі'!F190</f>
        <v>2556.4</v>
      </c>
      <c r="F17" s="16">
        <f>IF(E12=0,0,E17/E12)</f>
        <v>1</v>
      </c>
      <c r="G17" s="18">
        <f>E17*1.2</f>
        <v>3067.68</v>
      </c>
      <c r="H17" s="18">
        <f>G17*1.15</f>
        <v>3527.8319999999994</v>
      </c>
      <c r="I17" s="18">
        <f>H17*1.1</f>
        <v>3880.6151999999997</v>
      </c>
      <c r="J17" s="18">
        <f>I17*1.05</f>
        <v>4074.64596</v>
      </c>
      <c r="K17" s="951"/>
      <c r="L17" s="466"/>
    </row>
    <row r="18" spans="1:12" ht="38.25">
      <c r="A18" s="13" t="s">
        <v>630</v>
      </c>
      <c r="B18" s="542" t="s">
        <v>294</v>
      </c>
      <c r="C18" s="17">
        <f t="shared" si="1"/>
        <v>0</v>
      </c>
      <c r="D18" s="16">
        <f>IF(C23=0,0,C18/C23)</f>
        <v>0</v>
      </c>
      <c r="E18" s="17">
        <f>SUM(E19:E21)</f>
        <v>0</v>
      </c>
      <c r="F18" s="16">
        <f>IF(E23=0,0,E18/E23)</f>
        <v>0</v>
      </c>
      <c r="G18" s="17">
        <f>SUM(G19:G21)</f>
        <v>0</v>
      </c>
      <c r="H18" s="17">
        <f>SUM(H19:H21)</f>
        <v>0</v>
      </c>
      <c r="I18" s="17">
        <f>SUM(I19:I21)</f>
        <v>0</v>
      </c>
      <c r="J18" s="17">
        <f>SUM(J19:J21)</f>
        <v>0</v>
      </c>
      <c r="K18" s="951"/>
      <c r="L18" s="466"/>
    </row>
    <row r="19" spans="1:12" ht="12.75">
      <c r="A19" s="13" t="s">
        <v>631</v>
      </c>
      <c r="B19" s="13" t="s">
        <v>588</v>
      </c>
      <c r="C19" s="17">
        <f t="shared" si="1"/>
        <v>0</v>
      </c>
      <c r="D19" s="16">
        <f>IF(C18=0,0,C19/C18)</f>
        <v>0</v>
      </c>
      <c r="E19" s="18"/>
      <c r="F19" s="16">
        <f>IF(E18=0,0,E19/E18)</f>
        <v>0</v>
      </c>
      <c r="G19" s="18"/>
      <c r="H19" s="18"/>
      <c r="I19" s="18"/>
      <c r="J19" s="18"/>
      <c r="K19" s="951"/>
      <c r="L19" s="466"/>
    </row>
    <row r="20" spans="1:12" ht="25.5">
      <c r="A20" s="13" t="s">
        <v>632</v>
      </c>
      <c r="B20" s="13" t="s">
        <v>295</v>
      </c>
      <c r="C20" s="17">
        <f t="shared" si="1"/>
        <v>0</v>
      </c>
      <c r="D20" s="16">
        <f>IF(C18=0,0,C20/C18)</f>
        <v>0</v>
      </c>
      <c r="E20" s="18"/>
      <c r="F20" s="16">
        <f>IF(E18=0,0,E20/E18)</f>
        <v>0</v>
      </c>
      <c r="G20" s="18"/>
      <c r="H20" s="18"/>
      <c r="I20" s="18"/>
      <c r="J20" s="18"/>
      <c r="K20" s="951"/>
      <c r="L20" s="466"/>
    </row>
    <row r="21" spans="1:12" ht="25.5">
      <c r="A21" s="13" t="s">
        <v>633</v>
      </c>
      <c r="B21" s="13" t="s">
        <v>296</v>
      </c>
      <c r="C21" s="17">
        <f t="shared" si="1"/>
        <v>0</v>
      </c>
      <c r="D21" s="16">
        <f>IF(C18=0,0,C21/C18)</f>
        <v>0</v>
      </c>
      <c r="E21" s="18">
        <v>0</v>
      </c>
      <c r="F21" s="16">
        <f>IF(E18=0,0,E21/E18)</f>
        <v>0</v>
      </c>
      <c r="G21" s="18">
        <f>E21*1.5</f>
        <v>0</v>
      </c>
      <c r="H21" s="18">
        <f aca="true" t="shared" si="3" ref="H21:J22">G21*1.5</f>
        <v>0</v>
      </c>
      <c r="I21" s="18">
        <f t="shared" si="3"/>
        <v>0</v>
      </c>
      <c r="J21" s="18">
        <f t="shared" si="3"/>
        <v>0</v>
      </c>
      <c r="K21" s="951"/>
      <c r="L21" s="466"/>
    </row>
    <row r="22" spans="1:12" ht="12.75">
      <c r="A22" s="13" t="s">
        <v>634</v>
      </c>
      <c r="B22" s="542" t="s">
        <v>249</v>
      </c>
      <c r="C22" s="17">
        <f t="shared" si="1"/>
        <v>0</v>
      </c>
      <c r="D22" s="16">
        <f>IF(C23=0,0,C22/C23)</f>
        <v>0</v>
      </c>
      <c r="E22" s="18"/>
      <c r="F22" s="16">
        <f>IF(E23=0,0,E22/E23)</f>
        <v>0</v>
      </c>
      <c r="G22" s="18">
        <f>E22*1.5</f>
        <v>0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951"/>
      <c r="L22" s="466"/>
    </row>
    <row r="23" spans="1:12" ht="12.75">
      <c r="A23" s="13"/>
      <c r="B23" s="13" t="s">
        <v>304</v>
      </c>
      <c r="C23" s="17">
        <f>SUM(C22,C18,C12,C7)</f>
        <v>40042.373022278</v>
      </c>
      <c r="D23" s="16">
        <f aca="true" t="shared" si="4" ref="D23:J23">SUM(D22,D18,D12,D7)</f>
        <v>1</v>
      </c>
      <c r="E23" s="17">
        <f>SUM(E22,E18,E12,E7)</f>
        <v>5983.707620000001</v>
      </c>
      <c r="F23" s="16">
        <f t="shared" si="4"/>
        <v>0.9999999999999999</v>
      </c>
      <c r="G23" s="17">
        <f t="shared" si="4"/>
        <v>7180.449144</v>
      </c>
      <c r="H23" s="17">
        <f t="shared" si="4"/>
        <v>8257.5165156</v>
      </c>
      <c r="I23" s="17">
        <f t="shared" si="4"/>
        <v>9083.26816716</v>
      </c>
      <c r="J23" s="17">
        <f t="shared" si="4"/>
        <v>9537.431575518</v>
      </c>
      <c r="K23" s="952"/>
      <c r="L23" s="466"/>
    </row>
  </sheetData>
  <sheetProtection/>
  <mergeCells count="16">
    <mergeCell ref="A1:L1"/>
    <mergeCell ref="L2:L5"/>
    <mergeCell ref="K2:K4"/>
    <mergeCell ref="H4:H5"/>
    <mergeCell ref="G4:G5"/>
    <mergeCell ref="A2:A5"/>
    <mergeCell ref="B2:B5"/>
    <mergeCell ref="C4:C5"/>
    <mergeCell ref="D4:D5"/>
    <mergeCell ref="C2:D3"/>
    <mergeCell ref="K7:K23"/>
    <mergeCell ref="E2:J2"/>
    <mergeCell ref="E3:F3"/>
    <mergeCell ref="E4:F4"/>
    <mergeCell ref="J4:J5"/>
    <mergeCell ref="I4:I5"/>
  </mergeCells>
  <printOptions/>
  <pageMargins left="0.74" right="0.3937007874015748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12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N17"/>
  <sheetViews>
    <sheetView showZeros="0" zoomScalePageLayoutView="0" workbookViewId="0" topLeftCell="A1">
      <selection activeCell="M21" sqref="M21"/>
    </sheetView>
  </sheetViews>
  <sheetFormatPr defaultColWidth="9.00390625" defaultRowHeight="12.75"/>
  <cols>
    <col min="1" max="1" width="9.125" style="3" customWidth="1"/>
    <col min="2" max="2" width="8.625" style="3" customWidth="1"/>
    <col min="3" max="3" width="19.875" style="3" customWidth="1"/>
    <col min="4" max="4" width="14.125" style="3" customWidth="1"/>
    <col min="5" max="5" width="9.25390625" style="3" customWidth="1"/>
    <col min="6" max="6" width="13.00390625" style="3" customWidth="1"/>
    <col min="7" max="7" width="10.00390625" style="3" customWidth="1"/>
    <col min="8" max="8" width="17.25390625" style="3" customWidth="1"/>
    <col min="9" max="9" width="11.625" style="3" customWidth="1"/>
    <col min="10" max="11" width="11.125" style="3" customWidth="1"/>
    <col min="12" max="12" width="10.875" style="3" customWidth="1"/>
    <col min="13" max="13" width="18.25390625" style="3" customWidth="1"/>
    <col min="14" max="14" width="10.25390625" style="3" customWidth="1"/>
    <col min="15" max="16384" width="9.125" style="3" customWidth="1"/>
  </cols>
  <sheetData>
    <row r="1" spans="1:14" ht="24" customHeight="1">
      <c r="A1" s="962" t="s">
        <v>644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962"/>
      <c r="N1" s="963"/>
    </row>
    <row r="2" spans="1:14" s="1" customFormat="1" ht="15.75" customHeight="1">
      <c r="A2" s="857" t="s">
        <v>236</v>
      </c>
      <c r="B2" s="858" t="s">
        <v>251</v>
      </c>
      <c r="C2" s="859"/>
      <c r="D2" s="912" t="s">
        <v>539</v>
      </c>
      <c r="E2" s="912"/>
      <c r="F2" s="857" t="s">
        <v>238</v>
      </c>
      <c r="G2" s="857"/>
      <c r="H2" s="857"/>
      <c r="I2" s="857"/>
      <c r="J2" s="857"/>
      <c r="K2" s="857"/>
      <c r="L2" s="919"/>
      <c r="M2" s="913" t="s">
        <v>601</v>
      </c>
      <c r="N2" s="913" t="s">
        <v>587</v>
      </c>
    </row>
    <row r="3" spans="1:14" s="2" customFormat="1" ht="28.5" customHeight="1">
      <c r="A3" s="857"/>
      <c r="B3" s="860"/>
      <c r="C3" s="861"/>
      <c r="D3" s="912"/>
      <c r="E3" s="912"/>
      <c r="F3" s="916">
        <v>2012</v>
      </c>
      <c r="G3" s="917"/>
      <c r="H3" s="917"/>
      <c r="I3" s="25">
        <v>2013</v>
      </c>
      <c r="J3" s="25">
        <v>2014</v>
      </c>
      <c r="K3" s="25">
        <v>2015</v>
      </c>
      <c r="L3" s="25">
        <v>2016</v>
      </c>
      <c r="M3" s="914"/>
      <c r="N3" s="914"/>
    </row>
    <row r="4" spans="1:14" s="2" customFormat="1" ht="33" customHeight="1">
      <c r="A4" s="857"/>
      <c r="B4" s="860"/>
      <c r="C4" s="861"/>
      <c r="D4" s="857" t="s">
        <v>745</v>
      </c>
      <c r="E4" s="857" t="s">
        <v>239</v>
      </c>
      <c r="F4" s="858" t="s">
        <v>252</v>
      </c>
      <c r="G4" s="859"/>
      <c r="H4" s="913" t="s">
        <v>297</v>
      </c>
      <c r="I4" s="857" t="s">
        <v>745</v>
      </c>
      <c r="J4" s="857" t="s">
        <v>745</v>
      </c>
      <c r="K4" s="857" t="s">
        <v>745</v>
      </c>
      <c r="L4" s="919" t="s">
        <v>745</v>
      </c>
      <c r="M4" s="915"/>
      <c r="N4" s="914"/>
    </row>
    <row r="5" spans="1:14" s="2" customFormat="1" ht="15.75" customHeight="1" hidden="1">
      <c r="A5" s="857"/>
      <c r="B5" s="860"/>
      <c r="C5" s="861"/>
      <c r="D5" s="857"/>
      <c r="E5" s="857"/>
      <c r="F5" s="910"/>
      <c r="G5" s="911"/>
      <c r="H5" s="914"/>
      <c r="I5" s="857"/>
      <c r="J5" s="857"/>
      <c r="K5" s="857"/>
      <c r="L5" s="919"/>
      <c r="M5" s="475"/>
      <c r="N5" s="914"/>
    </row>
    <row r="6" spans="1:14" s="1" customFormat="1" ht="15" customHeight="1">
      <c r="A6" s="857"/>
      <c r="B6" s="910"/>
      <c r="C6" s="911"/>
      <c r="D6" s="857"/>
      <c r="E6" s="857"/>
      <c r="F6" s="475" t="s">
        <v>745</v>
      </c>
      <c r="G6" s="475" t="s">
        <v>239</v>
      </c>
      <c r="H6" s="915"/>
      <c r="I6" s="857"/>
      <c r="J6" s="857"/>
      <c r="K6" s="857"/>
      <c r="L6" s="919"/>
      <c r="M6" s="24" t="s">
        <v>600</v>
      </c>
      <c r="N6" s="915"/>
    </row>
    <row r="7" spans="1:14" s="1" customFormat="1" ht="14.25" customHeight="1">
      <c r="A7" s="513">
        <v>1</v>
      </c>
      <c r="B7" s="930">
        <v>2</v>
      </c>
      <c r="C7" s="931"/>
      <c r="D7" s="513">
        <v>3</v>
      </c>
      <c r="E7" s="513">
        <v>4</v>
      </c>
      <c r="F7" s="513">
        <v>5</v>
      </c>
      <c r="G7" s="513">
        <v>6</v>
      </c>
      <c r="H7" s="544">
        <v>7</v>
      </c>
      <c r="I7" s="513">
        <v>8</v>
      </c>
      <c r="J7" s="513">
        <v>9</v>
      </c>
      <c r="K7" s="513">
        <v>10</v>
      </c>
      <c r="L7" s="512">
        <v>11</v>
      </c>
      <c r="M7" s="513">
        <v>12</v>
      </c>
      <c r="N7" s="513">
        <v>13</v>
      </c>
    </row>
    <row r="8" spans="1:14" ht="27.75" customHeight="1">
      <c r="A8" s="13" t="s">
        <v>635</v>
      </c>
      <c r="B8" s="965" t="s">
        <v>298</v>
      </c>
      <c r="C8" s="965"/>
      <c r="D8" s="17">
        <f>SUM(F8,I8:L8)</f>
        <v>34946.306341999996</v>
      </c>
      <c r="E8" s="16">
        <f>IF(D15=0,0,D8/D15)</f>
        <v>0.9611061726213811</v>
      </c>
      <c r="F8" s="17">
        <f>SUM(F9:F12)</f>
        <v>5222.18</v>
      </c>
      <c r="G8" s="16">
        <f>IF(F15=0,0,F8/F15)</f>
        <v>0.961106172621381</v>
      </c>
      <c r="H8" s="6"/>
      <c r="I8" s="17">
        <f>SUM(I9:I12)</f>
        <v>6266.616</v>
      </c>
      <c r="J8" s="17">
        <f>SUM(J9:J12)</f>
        <v>7206.608399999999</v>
      </c>
      <c r="K8" s="17">
        <f>SUM(K9:K12)</f>
        <v>7927.26924</v>
      </c>
      <c r="L8" s="17">
        <f>SUM(L9:L12)</f>
        <v>8323.632701999999</v>
      </c>
      <c r="M8" s="950" t="s">
        <v>705</v>
      </c>
      <c r="N8" s="466"/>
    </row>
    <row r="9" spans="1:14" ht="25.5" customHeight="1">
      <c r="A9" s="13" t="s">
        <v>279</v>
      </c>
      <c r="B9" s="918" t="s">
        <v>299</v>
      </c>
      <c r="C9" s="918"/>
      <c r="D9" s="17">
        <f aca="true" t="shared" si="0" ref="D9:D14">SUM(F9,I9:L9)</f>
        <v>29793.543342</v>
      </c>
      <c r="E9" s="16">
        <f>IF(D8=0,0,D9/D8)</f>
        <v>0.8525519993565907</v>
      </c>
      <c r="F9" s="18">
        <f>'6. Пров закупівлі'!F203</f>
        <v>4452.18</v>
      </c>
      <c r="G9" s="16">
        <f>IF(F8=0,0,F9/F8)</f>
        <v>0.8525519993565905</v>
      </c>
      <c r="H9" s="6"/>
      <c r="I9" s="18">
        <f>F9*1.2</f>
        <v>5342.616</v>
      </c>
      <c r="J9" s="18">
        <f>I9*1.15</f>
        <v>6144.0084</v>
      </c>
      <c r="K9" s="18">
        <f>J9*1.1</f>
        <v>6758.40924</v>
      </c>
      <c r="L9" s="18">
        <f>K9*1.05</f>
        <v>7096.329702</v>
      </c>
      <c r="M9" s="951"/>
      <c r="N9" s="466"/>
    </row>
    <row r="10" spans="1:14" ht="15" customHeight="1">
      <c r="A10" s="13" t="s">
        <v>280</v>
      </c>
      <c r="B10" s="918" t="s">
        <v>300</v>
      </c>
      <c r="C10" s="918"/>
      <c r="D10" s="17">
        <f t="shared" si="0"/>
        <v>5152.763</v>
      </c>
      <c r="E10" s="16">
        <f>IF(D8=0,0,D10/D8)</f>
        <v>0.14744800064340946</v>
      </c>
      <c r="F10" s="18">
        <f>'6. Пров закупівлі'!F206</f>
        <v>770</v>
      </c>
      <c r="G10" s="16">
        <f>IF(F8=0,0,F10/F8)</f>
        <v>0.14744800064340946</v>
      </c>
      <c r="H10" s="6"/>
      <c r="I10" s="18">
        <f>F10*1.2</f>
        <v>924</v>
      </c>
      <c r="J10" s="18">
        <f>I10*1.15</f>
        <v>1062.6</v>
      </c>
      <c r="K10" s="18">
        <f>J10*1.1</f>
        <v>1168.86</v>
      </c>
      <c r="L10" s="18">
        <f>K10*1.05</f>
        <v>1227.3029999999999</v>
      </c>
      <c r="M10" s="951"/>
      <c r="N10" s="466"/>
    </row>
    <row r="11" spans="1:14" ht="38.25" customHeight="1">
      <c r="A11" s="13" t="s">
        <v>281</v>
      </c>
      <c r="B11" s="918" t="s">
        <v>301</v>
      </c>
      <c r="C11" s="918"/>
      <c r="D11" s="17">
        <f t="shared" si="0"/>
        <v>0</v>
      </c>
      <c r="E11" s="16">
        <f>IF(D8=0,0,D11/D8)</f>
        <v>0</v>
      </c>
      <c r="F11" s="18"/>
      <c r="G11" s="16">
        <f>IF(F8=0,0,F11/F8)</f>
        <v>0</v>
      </c>
      <c r="H11" s="6"/>
      <c r="I11" s="18"/>
      <c r="J11" s="18"/>
      <c r="K11" s="18"/>
      <c r="L11" s="18"/>
      <c r="M11" s="951"/>
      <c r="N11" s="466"/>
    </row>
    <row r="12" spans="1:14" ht="39" customHeight="1">
      <c r="A12" s="13" t="s">
        <v>282</v>
      </c>
      <c r="B12" s="918" t="s">
        <v>302</v>
      </c>
      <c r="C12" s="918"/>
      <c r="D12" s="17">
        <f t="shared" si="0"/>
        <v>0</v>
      </c>
      <c r="E12" s="16">
        <f>IF(D8=0,0,D12/D8)</f>
        <v>0</v>
      </c>
      <c r="F12" s="18"/>
      <c r="G12" s="16">
        <f>IF(F8=0,0,F12/F8)</f>
        <v>0</v>
      </c>
      <c r="H12" s="6"/>
      <c r="I12" s="18"/>
      <c r="J12" s="18"/>
      <c r="K12" s="18"/>
      <c r="L12" s="18"/>
      <c r="M12" s="951"/>
      <c r="N12" s="466"/>
    </row>
    <row r="13" spans="1:14" ht="27" customHeight="1">
      <c r="A13" s="13" t="s">
        <v>636</v>
      </c>
      <c r="B13" s="965" t="s">
        <v>303</v>
      </c>
      <c r="C13" s="965"/>
      <c r="D13" s="17">
        <f t="shared" si="0"/>
        <v>0</v>
      </c>
      <c r="E13" s="16">
        <f>IF(D15=0,0,D13/D15)</f>
        <v>0</v>
      </c>
      <c r="F13" s="18"/>
      <c r="G13" s="16">
        <f>IF(F15=0,0,F13/F15)</f>
        <v>0</v>
      </c>
      <c r="H13" s="6"/>
      <c r="I13" s="18"/>
      <c r="J13" s="18"/>
      <c r="K13" s="18"/>
      <c r="L13" s="18"/>
      <c r="M13" s="951"/>
      <c r="N13" s="466"/>
    </row>
    <row r="14" spans="1:14" ht="12.75">
      <c r="A14" s="13" t="s">
        <v>637</v>
      </c>
      <c r="B14" s="965" t="s">
        <v>249</v>
      </c>
      <c r="C14" s="965"/>
      <c r="D14" s="17">
        <f t="shared" si="0"/>
        <v>1414.1992269999996</v>
      </c>
      <c r="E14" s="16">
        <f>IF(D15=0,0,D14/D15)</f>
        <v>0.038893827378618975</v>
      </c>
      <c r="F14" s="18">
        <f>'6. Пров закупівлі'!F213</f>
        <v>211.32999999999998</v>
      </c>
      <c r="G14" s="16">
        <f>IF(F15=0,0,F14/F15)</f>
        <v>0.038893827378618975</v>
      </c>
      <c r="H14" s="6"/>
      <c r="I14" s="18">
        <f>F14*1.2</f>
        <v>253.59599999999998</v>
      </c>
      <c r="J14" s="18">
        <f>I14*1.15</f>
        <v>291.63539999999995</v>
      </c>
      <c r="K14" s="18">
        <f>J14*1.1</f>
        <v>320.79893999999996</v>
      </c>
      <c r="L14" s="18">
        <f>K14*1.05</f>
        <v>336.838887</v>
      </c>
      <c r="M14" s="951"/>
      <c r="N14" s="466"/>
    </row>
    <row r="15" spans="1:14" ht="12.75">
      <c r="A15" s="475"/>
      <c r="B15" s="964" t="s">
        <v>250</v>
      </c>
      <c r="C15" s="964"/>
      <c r="D15" s="545">
        <f>SUM(D8,D13,D14)</f>
        <v>36360.50556899999</v>
      </c>
      <c r="E15" s="546">
        <f>SUM(E8,E13,E14)</f>
        <v>1</v>
      </c>
      <c r="F15" s="545">
        <f>SUM(F8,F13,F14)</f>
        <v>5433.51</v>
      </c>
      <c r="G15" s="547">
        <f>SUM(G8,G13,G14)</f>
        <v>1</v>
      </c>
      <c r="H15" s="6"/>
      <c r="I15" s="545">
        <f>SUM(I8,I13,I14)</f>
        <v>6520.2119999999995</v>
      </c>
      <c r="J15" s="545">
        <f>SUM(J8,J13,J14)</f>
        <v>7498.243799999999</v>
      </c>
      <c r="K15" s="545">
        <f>SUM(K8,K13,K14)</f>
        <v>8248.06818</v>
      </c>
      <c r="L15" s="545">
        <f>SUM(L8,L13,L14)</f>
        <v>8660.471588999999</v>
      </c>
      <c r="M15" s="952"/>
      <c r="N15" s="466"/>
    </row>
    <row r="16" spans="4:5" ht="12.75">
      <c r="D16" s="15"/>
      <c r="E16" s="15"/>
    </row>
    <row r="17" spans="4:5" ht="12.75">
      <c r="D17" s="15"/>
      <c r="E17" s="15"/>
    </row>
  </sheetData>
  <sheetProtection/>
  <mergeCells count="26">
    <mergeCell ref="A1:N1"/>
    <mergeCell ref="N2:N6"/>
    <mergeCell ref="M2:M4"/>
    <mergeCell ref="B15:C15"/>
    <mergeCell ref="B11:C11"/>
    <mergeCell ref="B12:C12"/>
    <mergeCell ref="B13:C13"/>
    <mergeCell ref="B14:C14"/>
    <mergeCell ref="B8:C8"/>
    <mergeCell ref="B9:C9"/>
    <mergeCell ref="L4:L6"/>
    <mergeCell ref="F2:L2"/>
    <mergeCell ref="F3:H3"/>
    <mergeCell ref="F4:G5"/>
    <mergeCell ref="I4:I6"/>
    <mergeCell ref="H4:H6"/>
    <mergeCell ref="M8:M15"/>
    <mergeCell ref="B10:C10"/>
    <mergeCell ref="A2:A6"/>
    <mergeCell ref="B2:C6"/>
    <mergeCell ref="D2:E3"/>
    <mergeCell ref="D4:D6"/>
    <mergeCell ref="E4:E6"/>
    <mergeCell ref="B7:C7"/>
    <mergeCell ref="J4:J6"/>
    <mergeCell ref="K4:K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43">
      <selection activeCell="A77" sqref="A77:IV81"/>
    </sheetView>
  </sheetViews>
  <sheetFormatPr defaultColWidth="9.00390625" defaultRowHeight="12.75"/>
  <cols>
    <col min="1" max="1" width="4.25390625" style="64" customWidth="1"/>
    <col min="2" max="2" width="28.875" style="62" customWidth="1"/>
    <col min="3" max="3" width="11.75390625" style="62" customWidth="1"/>
    <col min="4" max="4" width="21.625" style="62" customWidth="1"/>
    <col min="5" max="5" width="22.00390625" style="62" customWidth="1"/>
    <col min="6" max="6" width="26.75390625" style="62" customWidth="1"/>
    <col min="7" max="7" width="26.00390625" style="62" customWidth="1"/>
    <col min="8" max="8" width="24.875" style="62" customWidth="1"/>
    <col min="9" max="16384" width="9.125" style="62" customWidth="1"/>
  </cols>
  <sheetData>
    <row r="1" spans="1:8" ht="17.25" customHeight="1">
      <c r="A1" s="954" t="s">
        <v>322</v>
      </c>
      <c r="B1" s="955"/>
      <c r="C1" s="955"/>
      <c r="D1" s="955"/>
      <c r="E1" s="955"/>
      <c r="F1" s="955"/>
      <c r="G1" s="955"/>
      <c r="H1" s="956"/>
    </row>
    <row r="2" spans="1:8" ht="70.5" customHeight="1">
      <c r="A2" s="970" t="s">
        <v>176</v>
      </c>
      <c r="B2" s="958" t="s">
        <v>177</v>
      </c>
      <c r="C2" s="958" t="s">
        <v>178</v>
      </c>
      <c r="D2" s="516" t="s">
        <v>179</v>
      </c>
      <c r="E2" s="516" t="s">
        <v>180</v>
      </c>
      <c r="F2" s="516" t="s">
        <v>323</v>
      </c>
      <c r="G2" s="516" t="s">
        <v>324</v>
      </c>
      <c r="H2" s="516" t="s">
        <v>183</v>
      </c>
    </row>
    <row r="3" spans="1:8" ht="13.5" customHeight="1">
      <c r="A3" s="970"/>
      <c r="B3" s="958"/>
      <c r="C3" s="958"/>
      <c r="D3" s="971" t="s">
        <v>744</v>
      </c>
      <c r="E3" s="971"/>
      <c r="F3" s="971"/>
      <c r="G3" s="971"/>
      <c r="H3" s="971"/>
    </row>
    <row r="4" spans="1:8" s="72" customFormat="1" ht="14.25">
      <c r="A4" s="549">
        <v>1</v>
      </c>
      <c r="B4" s="548">
        <v>2</v>
      </c>
      <c r="C4" s="548">
        <v>4</v>
      </c>
      <c r="D4" s="548">
        <v>5</v>
      </c>
      <c r="E4" s="548">
        <v>6</v>
      </c>
      <c r="F4" s="548">
        <v>7</v>
      </c>
      <c r="G4" s="548">
        <v>8</v>
      </c>
      <c r="H4" s="549" t="s">
        <v>787</v>
      </c>
    </row>
    <row r="5" spans="1:8" ht="16.5" customHeight="1">
      <c r="A5" s="677">
        <v>1</v>
      </c>
      <c r="B5" s="966" t="s">
        <v>325</v>
      </c>
      <c r="C5" s="966"/>
      <c r="D5" s="966"/>
      <c r="E5" s="966"/>
      <c r="F5" s="966"/>
      <c r="G5" s="966"/>
      <c r="H5" s="966"/>
    </row>
    <row r="6" spans="1:8" ht="59.25" customHeight="1">
      <c r="A6" s="677" t="s">
        <v>747</v>
      </c>
      <c r="B6" s="678" t="s">
        <v>467</v>
      </c>
      <c r="C6" s="679" t="s">
        <v>468</v>
      </c>
      <c r="D6" s="840">
        <v>2716</v>
      </c>
      <c r="E6" s="840">
        <v>2003.03</v>
      </c>
      <c r="F6" s="841"/>
      <c r="G6" s="841"/>
      <c r="H6" s="841"/>
    </row>
    <row r="7" spans="1:8" ht="33.75" customHeight="1">
      <c r="A7" s="677" t="s">
        <v>748</v>
      </c>
      <c r="B7" s="678" t="s">
        <v>469</v>
      </c>
      <c r="C7" s="679">
        <v>2006</v>
      </c>
      <c r="D7" s="840">
        <v>1666</v>
      </c>
      <c r="E7" s="840">
        <v>1607.7</v>
      </c>
      <c r="F7" s="841"/>
      <c r="G7" s="841"/>
      <c r="H7" s="841"/>
    </row>
    <row r="8" spans="1:8" ht="31.5" customHeight="1">
      <c r="A8" s="677" t="s">
        <v>85</v>
      </c>
      <c r="B8" s="678" t="s">
        <v>470</v>
      </c>
      <c r="C8" s="679">
        <v>2008</v>
      </c>
      <c r="D8" s="840">
        <v>2091</v>
      </c>
      <c r="E8" s="840">
        <v>2315.578</v>
      </c>
      <c r="F8" s="841"/>
      <c r="G8" s="841"/>
      <c r="H8" s="841"/>
    </row>
    <row r="9" spans="1:8" ht="30" customHeight="1">
      <c r="A9" s="677" t="s">
        <v>86</v>
      </c>
      <c r="B9" s="678" t="s">
        <v>471</v>
      </c>
      <c r="C9" s="679">
        <v>2009</v>
      </c>
      <c r="D9" s="840">
        <v>1666</v>
      </c>
      <c r="E9" s="840">
        <v>2838</v>
      </c>
      <c r="F9" s="841"/>
      <c r="G9" s="841"/>
      <c r="H9" s="841"/>
    </row>
    <row r="10" spans="1:8" ht="32.25" customHeight="1">
      <c r="A10" s="677" t="s">
        <v>87</v>
      </c>
      <c r="B10" s="678" t="s">
        <v>472</v>
      </c>
      <c r="C10" s="679">
        <v>2010</v>
      </c>
      <c r="D10" s="840">
        <v>833</v>
      </c>
      <c r="E10" s="840">
        <v>1419</v>
      </c>
      <c r="F10" s="840"/>
      <c r="G10" s="841"/>
      <c r="H10" s="841"/>
    </row>
    <row r="11" spans="1:8" ht="29.25" customHeight="1">
      <c r="A11" s="677" t="s">
        <v>88</v>
      </c>
      <c r="B11" s="678" t="s">
        <v>473</v>
      </c>
      <c r="C11" s="679">
        <v>2012</v>
      </c>
      <c r="D11" s="840">
        <f>SUM(E11:H11)</f>
        <v>1154</v>
      </c>
      <c r="E11" s="840"/>
      <c r="F11" s="840"/>
      <c r="G11" s="840">
        <v>1154</v>
      </c>
      <c r="H11" s="841"/>
    </row>
    <row r="12" spans="1:8" ht="28.5" customHeight="1">
      <c r="A12" s="677" t="s">
        <v>89</v>
      </c>
      <c r="B12" s="678" t="s">
        <v>351</v>
      </c>
      <c r="C12" s="679">
        <v>2012</v>
      </c>
      <c r="D12" s="840">
        <f>494+793</f>
        <v>1287</v>
      </c>
      <c r="E12" s="840"/>
      <c r="F12" s="840"/>
      <c r="G12" s="840">
        <v>1287</v>
      </c>
      <c r="H12" s="840"/>
    </row>
    <row r="13" spans="1:8" ht="28.5" customHeight="1">
      <c r="A13" s="677"/>
      <c r="B13" s="678" t="s">
        <v>596</v>
      </c>
      <c r="C13" s="679">
        <v>2012</v>
      </c>
      <c r="D13" s="840">
        <f>494+970</f>
        <v>1464</v>
      </c>
      <c r="E13" s="840"/>
      <c r="F13" s="840"/>
      <c r="G13" s="840">
        <v>1464</v>
      </c>
      <c r="H13" s="840"/>
    </row>
    <row r="14" spans="1:8" ht="42.75" customHeight="1">
      <c r="A14" s="677" t="s">
        <v>90</v>
      </c>
      <c r="B14" s="678" t="s">
        <v>597</v>
      </c>
      <c r="C14" s="679">
        <v>2013</v>
      </c>
      <c r="D14" s="840">
        <f>SUM(E14:H14)</f>
        <v>2363</v>
      </c>
      <c r="E14" s="840"/>
      <c r="F14" s="840"/>
      <c r="G14" s="842"/>
      <c r="H14" s="842">
        <f>494+660+494+715</f>
        <v>2363</v>
      </c>
    </row>
    <row r="15" spans="1:8" ht="30.75" customHeight="1">
      <c r="A15" s="677" t="s">
        <v>91</v>
      </c>
      <c r="B15" s="678" t="s">
        <v>474</v>
      </c>
      <c r="C15" s="679">
        <v>2014</v>
      </c>
      <c r="D15" s="840">
        <f>SUM(E15:H15)</f>
        <v>2583</v>
      </c>
      <c r="E15" s="840"/>
      <c r="F15" s="841"/>
      <c r="G15" s="841"/>
      <c r="H15" s="840">
        <f>494*2+770+825</f>
        <v>2583</v>
      </c>
    </row>
    <row r="16" spans="1:8" ht="30.75" customHeight="1">
      <c r="A16" s="677" t="s">
        <v>92</v>
      </c>
      <c r="B16" s="830" t="s">
        <v>475</v>
      </c>
      <c r="C16" s="679">
        <v>2015</v>
      </c>
      <c r="D16" s="840">
        <f>SUM(E16:H16)</f>
        <v>1703</v>
      </c>
      <c r="E16" s="840"/>
      <c r="F16" s="841"/>
      <c r="G16" s="841"/>
      <c r="H16" s="840">
        <f>494*2+715</f>
        <v>1703</v>
      </c>
    </row>
    <row r="17" spans="1:8" ht="45">
      <c r="A17" s="677" t="s">
        <v>93</v>
      </c>
      <c r="B17" s="678" t="s">
        <v>476</v>
      </c>
      <c r="C17" s="679">
        <v>2016</v>
      </c>
      <c r="D17" s="840">
        <f>SUM(E17:H17)</f>
        <v>3572</v>
      </c>
      <c r="E17" s="840"/>
      <c r="F17" s="841"/>
      <c r="G17" s="841"/>
      <c r="H17" s="840">
        <f>494*3+550+825+715</f>
        <v>3572</v>
      </c>
    </row>
    <row r="18" spans="1:8" ht="30.75" customHeight="1">
      <c r="A18" s="677" t="s">
        <v>94</v>
      </c>
      <c r="B18" s="678" t="s">
        <v>477</v>
      </c>
      <c r="C18" s="679">
        <v>2017</v>
      </c>
      <c r="D18" s="840">
        <f>SUM(E18:H18)</f>
        <v>3902</v>
      </c>
      <c r="E18" s="840"/>
      <c r="F18" s="841"/>
      <c r="G18" s="841"/>
      <c r="H18" s="840">
        <f>494*3+825+825+770</f>
        <v>3902</v>
      </c>
    </row>
    <row r="19" spans="1:8" ht="15" customHeight="1">
      <c r="A19" s="677">
        <v>2</v>
      </c>
      <c r="B19" s="966" t="s">
        <v>328</v>
      </c>
      <c r="C19" s="966"/>
      <c r="D19" s="966"/>
      <c r="E19" s="966"/>
      <c r="F19" s="966"/>
      <c r="G19" s="966"/>
      <c r="H19" s="966"/>
    </row>
    <row r="20" spans="1:8" ht="15">
      <c r="A20" s="672" t="s">
        <v>751</v>
      </c>
      <c r="B20" s="831" t="s">
        <v>430</v>
      </c>
      <c r="C20" s="832">
        <v>2004</v>
      </c>
      <c r="D20" s="840">
        <f aca="true" t="shared" si="0" ref="D20:D46">SUM(E20:H20)</f>
        <v>55.06</v>
      </c>
      <c r="E20" s="843">
        <v>55.06</v>
      </c>
      <c r="F20" s="844"/>
      <c r="G20" s="674"/>
      <c r="H20" s="674"/>
    </row>
    <row r="21" spans="1:8" ht="13.5" customHeight="1">
      <c r="A21" s="672" t="s">
        <v>753</v>
      </c>
      <c r="B21" s="831" t="s">
        <v>431</v>
      </c>
      <c r="C21" s="832">
        <v>2005</v>
      </c>
      <c r="D21" s="840">
        <f t="shared" si="0"/>
        <v>286.08</v>
      </c>
      <c r="E21" s="843">
        <v>286.08</v>
      </c>
      <c r="F21" s="844"/>
      <c r="G21" s="674"/>
      <c r="H21" s="674"/>
    </row>
    <row r="22" spans="1:8" ht="15">
      <c r="A22" s="672" t="s">
        <v>354</v>
      </c>
      <c r="B22" s="831" t="s">
        <v>432</v>
      </c>
      <c r="C22" s="832">
        <v>2006</v>
      </c>
      <c r="D22" s="840">
        <f t="shared" si="0"/>
        <v>201.9</v>
      </c>
      <c r="E22" s="843">
        <v>201.9</v>
      </c>
      <c r="F22" s="844"/>
      <c r="G22" s="674"/>
      <c r="H22" s="674"/>
    </row>
    <row r="23" spans="1:8" ht="15">
      <c r="A23" s="672" t="s">
        <v>74</v>
      </c>
      <c r="B23" s="831" t="s">
        <v>433</v>
      </c>
      <c r="C23" s="832">
        <v>2006</v>
      </c>
      <c r="D23" s="840">
        <f t="shared" si="0"/>
        <v>269.2</v>
      </c>
      <c r="E23" s="843">
        <v>269.2</v>
      </c>
      <c r="F23" s="844"/>
      <c r="G23" s="674"/>
      <c r="H23" s="674"/>
    </row>
    <row r="24" spans="1:8" ht="15.75" customHeight="1">
      <c r="A24" s="672" t="s">
        <v>75</v>
      </c>
      <c r="B24" s="831" t="s">
        <v>434</v>
      </c>
      <c r="C24" s="832">
        <v>2007</v>
      </c>
      <c r="D24" s="840">
        <f t="shared" si="0"/>
        <v>196.84</v>
      </c>
      <c r="E24" s="843">
        <v>196.84</v>
      </c>
      <c r="F24" s="844"/>
      <c r="G24" s="674"/>
      <c r="H24" s="674"/>
    </row>
    <row r="25" spans="1:8" ht="16.5" customHeight="1">
      <c r="A25" s="672" t="s">
        <v>584</v>
      </c>
      <c r="B25" s="831" t="s">
        <v>435</v>
      </c>
      <c r="C25" s="832">
        <v>2007</v>
      </c>
      <c r="D25" s="840">
        <f t="shared" si="0"/>
        <v>73.82</v>
      </c>
      <c r="E25" s="843">
        <v>73.82</v>
      </c>
      <c r="F25" s="844"/>
      <c r="G25" s="674"/>
      <c r="H25" s="674"/>
    </row>
    <row r="26" spans="1:8" ht="15">
      <c r="A26" s="672" t="s">
        <v>586</v>
      </c>
      <c r="B26" s="831" t="s">
        <v>436</v>
      </c>
      <c r="C26" s="832">
        <v>2008</v>
      </c>
      <c r="D26" s="840">
        <f t="shared" si="0"/>
        <v>213.98</v>
      </c>
      <c r="E26" s="843">
        <v>213.98</v>
      </c>
      <c r="F26" s="844"/>
      <c r="G26" s="674"/>
      <c r="H26" s="674"/>
    </row>
    <row r="27" spans="1:8" ht="17.25" customHeight="1">
      <c r="A27" s="672" t="s">
        <v>329</v>
      </c>
      <c r="B27" s="831" t="s">
        <v>435</v>
      </c>
      <c r="C27" s="832">
        <v>2008</v>
      </c>
      <c r="D27" s="840">
        <f t="shared" si="0"/>
        <v>106.99</v>
      </c>
      <c r="E27" s="843">
        <v>106.99</v>
      </c>
      <c r="F27" s="844"/>
      <c r="G27" s="674"/>
      <c r="H27" s="674"/>
    </row>
    <row r="28" spans="1:8" ht="15">
      <c r="A28" s="672" t="s">
        <v>330</v>
      </c>
      <c r="B28" s="833" t="s">
        <v>437</v>
      </c>
      <c r="C28" s="834">
        <v>2009</v>
      </c>
      <c r="D28" s="840">
        <f t="shared" si="0"/>
        <v>479.29</v>
      </c>
      <c r="E28" s="835">
        <v>479.29</v>
      </c>
      <c r="F28" s="844"/>
      <c r="G28" s="674"/>
      <c r="H28" s="674"/>
    </row>
    <row r="29" spans="1:8" ht="15">
      <c r="A29" s="672" t="s">
        <v>331</v>
      </c>
      <c r="B29" s="833" t="s">
        <v>438</v>
      </c>
      <c r="C29" s="834">
        <v>2010</v>
      </c>
      <c r="D29" s="840">
        <f t="shared" si="0"/>
        <v>420.01</v>
      </c>
      <c r="E29" s="844">
        <v>420.01</v>
      </c>
      <c r="F29" s="844"/>
      <c r="G29" s="674"/>
      <c r="H29" s="674"/>
    </row>
    <row r="30" spans="1:8" ht="15">
      <c r="A30" s="672" t="s">
        <v>332</v>
      </c>
      <c r="B30" s="836" t="s">
        <v>439</v>
      </c>
      <c r="C30" s="834">
        <v>2011</v>
      </c>
      <c r="D30" s="840">
        <f t="shared" si="0"/>
        <v>499.34</v>
      </c>
      <c r="E30" s="674">
        <v>249.67</v>
      </c>
      <c r="F30" s="674"/>
      <c r="G30" s="674">
        <v>249.67</v>
      </c>
      <c r="H30" s="835"/>
    </row>
    <row r="31" spans="1:9" ht="15">
      <c r="A31" s="672" t="s">
        <v>333</v>
      </c>
      <c r="B31" s="837" t="s">
        <v>440</v>
      </c>
      <c r="C31" s="834">
        <v>2011</v>
      </c>
      <c r="D31" s="840">
        <f t="shared" si="0"/>
        <v>15.34</v>
      </c>
      <c r="E31" s="674">
        <v>7.67</v>
      </c>
      <c r="F31" s="674"/>
      <c r="G31" s="674">
        <v>7.67</v>
      </c>
      <c r="H31" s="673"/>
      <c r="I31" s="63"/>
    </row>
    <row r="32" spans="1:9" ht="15">
      <c r="A32" s="672" t="s">
        <v>334</v>
      </c>
      <c r="B32" s="837" t="s">
        <v>441</v>
      </c>
      <c r="C32" s="834">
        <v>2012</v>
      </c>
      <c r="D32" s="840">
        <f t="shared" si="0"/>
        <v>362</v>
      </c>
      <c r="E32" s="675"/>
      <c r="F32" s="675"/>
      <c r="G32" s="675"/>
      <c r="H32" s="675">
        <v>362</v>
      </c>
      <c r="I32" s="63"/>
    </row>
    <row r="33" spans="1:9" ht="15">
      <c r="A33" s="672" t="s">
        <v>335</v>
      </c>
      <c r="B33" s="831" t="s">
        <v>442</v>
      </c>
      <c r="C33" s="834">
        <v>2012</v>
      </c>
      <c r="D33" s="840">
        <f t="shared" si="0"/>
        <v>60</v>
      </c>
      <c r="E33" s="675"/>
      <c r="F33" s="675"/>
      <c r="G33" s="675"/>
      <c r="H33" s="675">
        <v>60</v>
      </c>
      <c r="I33" s="59"/>
    </row>
    <row r="34" spans="1:9" ht="15">
      <c r="A34" s="672" t="s">
        <v>336</v>
      </c>
      <c r="B34" s="837" t="s">
        <v>443</v>
      </c>
      <c r="C34" s="834">
        <v>2012</v>
      </c>
      <c r="D34" s="840">
        <f t="shared" si="0"/>
        <v>542</v>
      </c>
      <c r="E34" s="675"/>
      <c r="F34" s="675"/>
      <c r="G34" s="675"/>
      <c r="H34" s="675">
        <v>542</v>
      </c>
      <c r="I34" s="59"/>
    </row>
    <row r="35" spans="1:9" ht="17.25" customHeight="1">
      <c r="A35" s="672" t="s">
        <v>337</v>
      </c>
      <c r="B35" s="837" t="s">
        <v>444</v>
      </c>
      <c r="C35" s="834">
        <v>2012</v>
      </c>
      <c r="D35" s="840">
        <f t="shared" si="0"/>
        <v>302</v>
      </c>
      <c r="E35" s="675"/>
      <c r="F35" s="674"/>
      <c r="G35" s="674"/>
      <c r="H35" s="674">
        <v>302</v>
      </c>
      <c r="I35" s="59"/>
    </row>
    <row r="36" spans="1:9" ht="15">
      <c r="A36" s="672" t="s">
        <v>338</v>
      </c>
      <c r="B36" s="837" t="s">
        <v>445</v>
      </c>
      <c r="C36" s="834">
        <v>2013</v>
      </c>
      <c r="D36" s="840">
        <f t="shared" si="0"/>
        <v>858.24</v>
      </c>
      <c r="E36" s="675"/>
      <c r="F36" s="674"/>
      <c r="G36" s="674"/>
      <c r="H36" s="673">
        <v>858.24</v>
      </c>
      <c r="I36" s="59"/>
    </row>
    <row r="37" spans="1:8" ht="15">
      <c r="A37" s="672" t="s">
        <v>339</v>
      </c>
      <c r="B37" s="837" t="s">
        <v>446</v>
      </c>
      <c r="C37" s="834">
        <v>2014</v>
      </c>
      <c r="D37" s="840">
        <f t="shared" si="0"/>
        <v>624.1715862068966</v>
      </c>
      <c r="E37" s="675"/>
      <c r="F37" s="674"/>
      <c r="G37" s="674"/>
      <c r="H37" s="673">
        <v>624.1715862068966</v>
      </c>
    </row>
    <row r="38" spans="1:8" ht="15">
      <c r="A38" s="672" t="s">
        <v>340</v>
      </c>
      <c r="B38" s="836" t="s">
        <v>447</v>
      </c>
      <c r="C38" s="834">
        <v>2015</v>
      </c>
      <c r="D38" s="840">
        <f t="shared" si="0"/>
        <v>1014.27882758621</v>
      </c>
      <c r="E38" s="675"/>
      <c r="F38" s="674"/>
      <c r="G38" s="674"/>
      <c r="H38" s="673">
        <v>1014.27882758621</v>
      </c>
    </row>
    <row r="39" spans="1:8" ht="15">
      <c r="A39" s="672" t="s">
        <v>341</v>
      </c>
      <c r="B39" s="837" t="s">
        <v>448</v>
      </c>
      <c r="C39" s="834">
        <v>2016</v>
      </c>
      <c r="D39" s="840">
        <f t="shared" si="0"/>
        <v>546.1501379310345</v>
      </c>
      <c r="E39" s="675"/>
      <c r="F39" s="674"/>
      <c r="G39" s="674"/>
      <c r="H39" s="673">
        <v>546.1501379310345</v>
      </c>
    </row>
    <row r="40" spans="1:8" ht="15">
      <c r="A40" s="672" t="s">
        <v>342</v>
      </c>
      <c r="B40" s="837" t="s">
        <v>449</v>
      </c>
      <c r="C40" s="834">
        <v>2017</v>
      </c>
      <c r="D40" s="840">
        <f t="shared" si="0"/>
        <v>390.1072413793104</v>
      </c>
      <c r="E40" s="675"/>
      <c r="F40" s="674"/>
      <c r="G40" s="674"/>
      <c r="H40" s="673">
        <v>390.1072413793104</v>
      </c>
    </row>
    <row r="41" spans="1:8" ht="15">
      <c r="A41" s="672" t="s">
        <v>343</v>
      </c>
      <c r="B41" s="837" t="s">
        <v>450</v>
      </c>
      <c r="C41" s="834">
        <v>2017</v>
      </c>
      <c r="D41" s="840">
        <f t="shared" si="0"/>
        <v>390.1072413793104</v>
      </c>
      <c r="E41" s="675"/>
      <c r="F41" s="674"/>
      <c r="G41" s="674"/>
      <c r="H41" s="673">
        <v>390.1072413793104</v>
      </c>
    </row>
    <row r="42" spans="1:8" ht="15">
      <c r="A42" s="672" t="s">
        <v>344</v>
      </c>
      <c r="B42" s="837" t="s">
        <v>451</v>
      </c>
      <c r="C42" s="834">
        <v>2018</v>
      </c>
      <c r="D42" s="840">
        <f t="shared" si="0"/>
        <v>234.0643448275862</v>
      </c>
      <c r="E42" s="675"/>
      <c r="F42" s="674"/>
      <c r="G42" s="674"/>
      <c r="H42" s="673">
        <v>234.0643448275862</v>
      </c>
    </row>
    <row r="43" spans="1:8" ht="15">
      <c r="A43" s="672" t="s">
        <v>345</v>
      </c>
      <c r="B43" s="837" t="s">
        <v>452</v>
      </c>
      <c r="C43" s="834">
        <v>2018</v>
      </c>
      <c r="D43" s="840">
        <f t="shared" si="0"/>
        <v>156.04289655172414</v>
      </c>
      <c r="E43" s="675"/>
      <c r="F43" s="674"/>
      <c r="G43" s="674"/>
      <c r="H43" s="673">
        <v>156.04289655172414</v>
      </c>
    </row>
    <row r="44" spans="1:8" ht="15">
      <c r="A44" s="672" t="s">
        <v>456</v>
      </c>
      <c r="B44" s="837" t="s">
        <v>453</v>
      </c>
      <c r="C44" s="834">
        <v>2018</v>
      </c>
      <c r="D44" s="840">
        <f t="shared" si="0"/>
        <v>156.04289655172414</v>
      </c>
      <c r="E44" s="675"/>
      <c r="F44" s="674"/>
      <c r="G44" s="674"/>
      <c r="H44" s="673">
        <v>156.04289655172414</v>
      </c>
    </row>
    <row r="45" spans="1:8" ht="15">
      <c r="A45" s="672" t="s">
        <v>457</v>
      </c>
      <c r="B45" s="836" t="s">
        <v>454</v>
      </c>
      <c r="C45" s="834">
        <v>2019</v>
      </c>
      <c r="D45" s="840">
        <f t="shared" si="0"/>
        <v>546.1501379310345</v>
      </c>
      <c r="E45" s="845"/>
      <c r="F45" s="846"/>
      <c r="G45" s="846"/>
      <c r="H45" s="673">
        <v>546.1501379310345</v>
      </c>
    </row>
    <row r="46" spans="1:8" ht="15">
      <c r="A46" s="672" t="s">
        <v>352</v>
      </c>
      <c r="B46" s="837" t="s">
        <v>455</v>
      </c>
      <c r="C46" s="834">
        <v>2019</v>
      </c>
      <c r="D46" s="840">
        <f t="shared" si="0"/>
        <v>156.04289655172414</v>
      </c>
      <c r="E46" s="845"/>
      <c r="F46" s="846"/>
      <c r="G46" s="846"/>
      <c r="H46" s="673">
        <v>156.04289655172414</v>
      </c>
    </row>
    <row r="47" spans="1:8" ht="15">
      <c r="A47" s="677">
        <v>3</v>
      </c>
      <c r="B47" s="967" t="s">
        <v>327</v>
      </c>
      <c r="C47" s="967"/>
      <c r="D47" s="967"/>
      <c r="E47" s="967"/>
      <c r="F47" s="967"/>
      <c r="G47" s="967"/>
      <c r="H47" s="967"/>
    </row>
    <row r="48" spans="1:8" ht="30">
      <c r="A48" s="677" t="s">
        <v>754</v>
      </c>
      <c r="B48" s="678" t="s">
        <v>478</v>
      </c>
      <c r="C48" s="680">
        <v>2003</v>
      </c>
      <c r="D48" s="840">
        <f>243.5*4</f>
        <v>974</v>
      </c>
      <c r="E48" s="840">
        <v>1262.04</v>
      </c>
      <c r="F48" s="840"/>
      <c r="G48" s="840"/>
      <c r="H48" s="840"/>
    </row>
    <row r="49" spans="1:8" ht="30">
      <c r="A49" s="677" t="s">
        <v>756</v>
      </c>
      <c r="B49" s="678" t="s">
        <v>479</v>
      </c>
      <c r="C49" s="680">
        <v>2004</v>
      </c>
      <c r="D49" s="840">
        <f>243.5*6</f>
        <v>1461</v>
      </c>
      <c r="E49" s="840">
        <v>1582.16</v>
      </c>
      <c r="F49" s="840"/>
      <c r="G49" s="840"/>
      <c r="H49" s="840"/>
    </row>
    <row r="50" spans="1:8" ht="15">
      <c r="A50" s="677" t="s">
        <v>313</v>
      </c>
      <c r="B50" s="678" t="s">
        <v>480</v>
      </c>
      <c r="C50" s="680">
        <v>2007</v>
      </c>
      <c r="D50" s="840">
        <f>243.5</f>
        <v>243.5</v>
      </c>
      <c r="E50" s="840">
        <v>161.88</v>
      </c>
      <c r="F50" s="840"/>
      <c r="G50" s="840"/>
      <c r="H50" s="840"/>
    </row>
    <row r="51" spans="1:8" ht="15">
      <c r="A51" s="677" t="s">
        <v>314</v>
      </c>
      <c r="B51" s="678" t="s">
        <v>481</v>
      </c>
      <c r="C51" s="680">
        <v>2010</v>
      </c>
      <c r="D51" s="840">
        <f>243.5*2</f>
        <v>487</v>
      </c>
      <c r="E51" s="840">
        <v>457</v>
      </c>
      <c r="F51" s="840"/>
      <c r="G51" s="840"/>
      <c r="H51" s="840"/>
    </row>
    <row r="52" spans="1:8" ht="15">
      <c r="A52" s="677" t="s">
        <v>482</v>
      </c>
      <c r="B52" s="678" t="s">
        <v>483</v>
      </c>
      <c r="C52" s="680">
        <v>2011</v>
      </c>
      <c r="D52" s="840"/>
      <c r="E52" s="840"/>
      <c r="F52" s="840">
        <v>233</v>
      </c>
      <c r="G52" s="840"/>
      <c r="H52" s="840"/>
    </row>
    <row r="53" spans="1:8" ht="30">
      <c r="A53" s="677" t="s">
        <v>484</v>
      </c>
      <c r="B53" s="678" t="s">
        <v>485</v>
      </c>
      <c r="C53" s="680">
        <v>2012</v>
      </c>
      <c r="D53" s="840">
        <f>H53</f>
        <v>1500</v>
      </c>
      <c r="E53" s="840"/>
      <c r="F53" s="840"/>
      <c r="G53" s="840"/>
      <c r="H53" s="840">
        <v>1500</v>
      </c>
    </row>
    <row r="54" spans="1:8" ht="30">
      <c r="A54" s="677" t="s">
        <v>486</v>
      </c>
      <c r="B54" s="678" t="s">
        <v>487</v>
      </c>
      <c r="C54" s="680">
        <v>2013</v>
      </c>
      <c r="D54" s="840">
        <f>H54</f>
        <v>1000</v>
      </c>
      <c r="E54" s="840"/>
      <c r="F54" s="840"/>
      <c r="G54" s="840"/>
      <c r="H54" s="840">
        <v>1000</v>
      </c>
    </row>
    <row r="55" spans="1:8" ht="30">
      <c r="A55" s="677" t="s">
        <v>488</v>
      </c>
      <c r="B55" s="678" t="s">
        <v>489</v>
      </c>
      <c r="C55" s="680">
        <v>2014</v>
      </c>
      <c r="D55" s="840"/>
      <c r="E55" s="840"/>
      <c r="F55" s="840"/>
      <c r="G55" s="840"/>
      <c r="H55" s="840"/>
    </row>
    <row r="56" spans="1:8" ht="15">
      <c r="A56" s="968" t="s">
        <v>353</v>
      </c>
      <c r="B56" s="968"/>
      <c r="C56" s="676"/>
      <c r="D56" s="673">
        <f>SUM(D6:D55)</f>
        <v>41820.74820689657</v>
      </c>
      <c r="E56" s="673">
        <f>SUM(E6:E55)</f>
        <v>16206.898</v>
      </c>
      <c r="F56" s="673">
        <f>SUM(F6:F55)</f>
        <v>233</v>
      </c>
      <c r="G56" s="673">
        <f>SUM(G6:G55)</f>
        <v>4162.34</v>
      </c>
      <c r="H56" s="673">
        <f>SUM(H6:H55)</f>
        <v>22960.398206896563</v>
      </c>
    </row>
    <row r="57" spans="1:8" ht="15" hidden="1">
      <c r="A57" s="73"/>
      <c r="B57" s="74"/>
      <c r="C57" s="74"/>
      <c r="D57" s="74"/>
      <c r="E57" s="60"/>
      <c r="F57" s="60"/>
      <c r="G57" s="60"/>
      <c r="H57" s="60"/>
    </row>
    <row r="58" spans="1:8" ht="14.25" hidden="1">
      <c r="A58" s="51" t="s">
        <v>202</v>
      </c>
      <c r="B58" s="51"/>
      <c r="C58" s="52"/>
      <c r="D58" s="53" t="s">
        <v>151</v>
      </c>
      <c r="E58" s="53"/>
      <c r="F58" s="53"/>
      <c r="G58" s="66" t="s">
        <v>326</v>
      </c>
      <c r="H58" s="63"/>
    </row>
    <row r="59" spans="1:8" ht="15" hidden="1">
      <c r="A59" s="54"/>
      <c r="B59" s="54"/>
      <c r="C59" s="55"/>
      <c r="D59" s="53" t="s">
        <v>152</v>
      </c>
      <c r="E59" s="53"/>
      <c r="F59" s="53"/>
      <c r="G59" s="53" t="s">
        <v>315</v>
      </c>
      <c r="H59" s="63"/>
    </row>
    <row r="60" spans="1:7" ht="12.75" hidden="1">
      <c r="A60" s="56"/>
      <c r="B60" s="56"/>
      <c r="C60" s="52"/>
      <c r="D60" s="52"/>
      <c r="E60" s="52"/>
      <c r="F60" s="52"/>
      <c r="G60" s="52"/>
    </row>
    <row r="61" spans="1:7" ht="12.75" hidden="1">
      <c r="A61" s="969" t="s">
        <v>153</v>
      </c>
      <c r="B61" s="969"/>
      <c r="C61" s="969"/>
      <c r="D61" s="969"/>
      <c r="E61" s="57"/>
      <c r="F61" s="52"/>
      <c r="G61" s="52"/>
    </row>
    <row r="62" spans="1:7" ht="12.75" hidden="1">
      <c r="A62" s="58"/>
      <c r="B62" s="58"/>
      <c r="C62" s="52"/>
      <c r="D62" s="52"/>
      <c r="E62" s="52"/>
      <c r="F62" s="52"/>
      <c r="G62" s="52"/>
    </row>
    <row r="63" spans="1:7" ht="12.75" hidden="1">
      <c r="A63" s="58" t="s">
        <v>316</v>
      </c>
      <c r="B63" s="58"/>
      <c r="C63" s="52"/>
      <c r="D63" s="52"/>
      <c r="E63" s="52"/>
      <c r="F63" s="52"/>
      <c r="G63" s="52"/>
    </row>
    <row r="64" spans="1:7" ht="12.75">
      <c r="A64" s="50"/>
      <c r="B64" s="50"/>
      <c r="C64" s="50"/>
      <c r="D64" s="50"/>
      <c r="E64" s="50"/>
      <c r="F64" s="50"/>
      <c r="G64" s="50"/>
    </row>
    <row r="65" spans="1:7" ht="12.75" hidden="1">
      <c r="A65" s="50"/>
      <c r="B65" s="50"/>
      <c r="C65" s="50"/>
      <c r="D65" s="50"/>
      <c r="E65" s="50"/>
      <c r="F65" s="50"/>
      <c r="G65" s="50"/>
    </row>
    <row r="66" spans="1:7" ht="14.25" hidden="1">
      <c r="A66" s="51" t="s">
        <v>203</v>
      </c>
      <c r="B66" s="51"/>
      <c r="C66" s="52"/>
      <c r="D66" s="53" t="s">
        <v>151</v>
      </c>
      <c r="E66" s="53"/>
      <c r="F66" s="53"/>
      <c r="G66" s="66" t="s">
        <v>204</v>
      </c>
    </row>
    <row r="67" spans="1:7" ht="15" hidden="1">
      <c r="A67" s="54"/>
      <c r="B67" s="54"/>
      <c r="C67" s="55"/>
      <c r="D67" s="53" t="s">
        <v>152</v>
      </c>
      <c r="E67" s="53"/>
      <c r="F67" s="53"/>
      <c r="G67" s="53" t="s">
        <v>315</v>
      </c>
    </row>
    <row r="68" spans="1:7" ht="12.75" hidden="1">
      <c r="A68" s="56"/>
      <c r="B68" s="56"/>
      <c r="C68" s="52"/>
      <c r="D68" s="52"/>
      <c r="E68" s="52"/>
      <c r="F68" s="52"/>
      <c r="G68" s="52"/>
    </row>
    <row r="69" spans="1:7" ht="12.75" hidden="1">
      <c r="A69" s="969" t="s">
        <v>153</v>
      </c>
      <c r="B69" s="969"/>
      <c r="C69" s="969"/>
      <c r="D69" s="969"/>
      <c r="E69" s="57"/>
      <c r="F69" s="52"/>
      <c r="G69" s="52"/>
    </row>
    <row r="70" spans="1:7" ht="12.75" hidden="1">
      <c r="A70" s="50"/>
      <c r="B70" s="50"/>
      <c r="C70" s="50"/>
      <c r="D70" s="50"/>
      <c r="E70" s="50"/>
      <c r="F70" s="50"/>
      <c r="G70" s="50"/>
    </row>
    <row r="71" spans="1:7" ht="12.75">
      <c r="A71" s="50"/>
      <c r="B71" s="50"/>
      <c r="C71" s="50"/>
      <c r="D71" s="50"/>
      <c r="E71" s="50"/>
      <c r="F71" s="50"/>
      <c r="G71" s="50"/>
    </row>
    <row r="73" spans="2:9" ht="15">
      <c r="B73" s="534" t="s">
        <v>202</v>
      </c>
      <c r="C73" s="534"/>
      <c r="D73" s="538"/>
      <c r="E73" s="629" t="s">
        <v>151</v>
      </c>
      <c r="F73" s="693"/>
      <c r="G73" s="687" t="s">
        <v>326</v>
      </c>
      <c r="H73" s="693"/>
      <c r="I73" s="838"/>
    </row>
    <row r="74" spans="2:9" ht="14.25">
      <c r="B74" s="537"/>
      <c r="C74" s="537"/>
      <c r="D74" s="538"/>
      <c r="E74" s="629" t="s">
        <v>152</v>
      </c>
      <c r="F74" s="693"/>
      <c r="G74" s="629" t="s">
        <v>315</v>
      </c>
      <c r="H74" s="693"/>
      <c r="I74" s="839"/>
    </row>
    <row r="75" spans="2:9" ht="14.25">
      <c r="B75" s="537"/>
      <c r="C75" s="537"/>
      <c r="D75" s="538"/>
      <c r="E75" s="538"/>
      <c r="F75" s="538"/>
      <c r="G75" s="538"/>
      <c r="H75" s="538"/>
      <c r="I75" s="839"/>
    </row>
    <row r="76" spans="2:8" ht="14.25">
      <c r="B76" s="693"/>
      <c r="C76" s="693"/>
      <c r="D76" s="693"/>
      <c r="E76" s="693"/>
      <c r="F76" s="693"/>
      <c r="G76" s="693"/>
      <c r="H76" s="693"/>
    </row>
    <row r="77" spans="2:8" ht="15" hidden="1">
      <c r="B77" s="534" t="s">
        <v>203</v>
      </c>
      <c r="C77" s="538"/>
      <c r="D77" s="538"/>
      <c r="E77" s="629" t="s">
        <v>151</v>
      </c>
      <c r="F77" s="538"/>
      <c r="G77" s="687" t="s">
        <v>204</v>
      </c>
      <c r="H77" s="693"/>
    </row>
    <row r="78" spans="2:8" ht="14.25" hidden="1">
      <c r="B78" s="538"/>
      <c r="C78" s="538"/>
      <c r="D78" s="538"/>
      <c r="E78" s="629" t="s">
        <v>152</v>
      </c>
      <c r="F78" s="538"/>
      <c r="G78" s="629" t="s">
        <v>315</v>
      </c>
      <c r="H78" s="693"/>
    </row>
    <row r="79" spans="2:8" ht="14.25" hidden="1">
      <c r="B79" s="538"/>
      <c r="C79" s="538"/>
      <c r="D79" s="538"/>
      <c r="E79" s="538"/>
      <c r="F79" s="538"/>
      <c r="G79" s="538"/>
      <c r="H79" s="693"/>
    </row>
    <row r="80" spans="2:8" ht="14.25" hidden="1">
      <c r="B80" s="871" t="s">
        <v>153</v>
      </c>
      <c r="C80" s="871"/>
      <c r="D80" s="871"/>
      <c r="E80" s="871"/>
      <c r="F80" s="538"/>
      <c r="G80" s="538"/>
      <c r="H80" s="693"/>
    </row>
    <row r="81" spans="2:8" ht="14.25" hidden="1">
      <c r="B81" s="631" t="s">
        <v>316</v>
      </c>
      <c r="C81" s="538"/>
      <c r="D81" s="538"/>
      <c r="E81" s="538"/>
      <c r="F81" s="538"/>
      <c r="G81" s="538"/>
      <c r="H81" s="693"/>
    </row>
    <row r="82" spans="2:8" ht="14.25">
      <c r="B82" s="693"/>
      <c r="C82" s="693"/>
      <c r="D82" s="693"/>
      <c r="E82" s="693"/>
      <c r="F82" s="693"/>
      <c r="G82" s="693"/>
      <c r="H82" s="693"/>
    </row>
  </sheetData>
  <sheetProtection/>
  <mergeCells count="12">
    <mergeCell ref="B5:H5"/>
    <mergeCell ref="A1:H1"/>
    <mergeCell ref="A2:A3"/>
    <mergeCell ref="B2:B3"/>
    <mergeCell ref="D3:H3"/>
    <mergeCell ref="C2:C3"/>
    <mergeCell ref="B19:H19"/>
    <mergeCell ref="B47:H47"/>
    <mergeCell ref="A56:B56"/>
    <mergeCell ref="B80:E80"/>
    <mergeCell ref="A61:D61"/>
    <mergeCell ref="A69:D69"/>
  </mergeCells>
  <printOptions/>
  <pageMargins left="0.36" right="0.32" top="0.37" bottom="0.22" header="0.37" footer="0.2"/>
  <pageSetup fitToHeight="2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KULINICH</dc:creator>
  <cp:keywords/>
  <dc:description/>
  <cp:lastModifiedBy>Пользователь</cp:lastModifiedBy>
  <cp:lastPrinted>2012-08-08T07:33:09Z</cp:lastPrinted>
  <dcterms:created xsi:type="dcterms:W3CDTF">2003-02-20T10:09:41Z</dcterms:created>
  <dcterms:modified xsi:type="dcterms:W3CDTF">2012-09-11T06:58:50Z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-663104817</vt:i4>
  </property>
  <property fmtid="{D5CDD505-2E9C-101B-9397-08002B2CF9AE}" pid="3" name="_EmailSubject">
    <vt:lpwstr/>
  </property>
  <property fmtid="{D5CDD505-2E9C-101B-9397-08002B2CF9AE}" pid="4" name="_AuthorEmail">
    <vt:lpwstr>Pustovojtov@nerc.gov.ua</vt:lpwstr>
  </property>
  <property fmtid="{D5CDD505-2E9C-101B-9397-08002B2CF9AE}" pid="5" name="_AuthorEmailDisplayName">
    <vt:lpwstr>Pustovojtov</vt:lpwstr>
  </property>
  <property fmtid="{D5CDD505-2E9C-101B-9397-08002B2CF9AE}" pid="6" name="_PreviousAdHocReviewCycleID">
    <vt:i4>1515153247</vt:i4>
  </property>
  <property fmtid="{D5CDD505-2E9C-101B-9397-08002B2CF9AE}" pid="7" name="_ReviewingToolsShownOnce">
    <vt:lpwstr/>
  </property>
</Properties>
</file>