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1655" windowWidth="15330" windowHeight="4500" tabRatio="824" firstSheet="20" activeTab="31"/>
  </bookViews>
  <sheets>
    <sheet name="Загальна інформація" sheetId="1" r:id="rId1"/>
    <sheet name="1. Незавершене будівництво " sheetId="2" r:id="rId2"/>
    <sheet name="2. Джерела фінансування" sheetId="3" r:id="rId3"/>
    <sheet name="3. План інвестицій" sheetId="4" r:id="rId4"/>
    <sheet name="4. Технічний стан " sheetId="5" r:id="rId5"/>
    <sheet name="4.1. Характеристика мереж " sheetId="6" r:id="rId6"/>
    <sheet name="4.2. Облік " sheetId="7" r:id="rId7"/>
    <sheet name="4.2.1. Облік промспоживачів " sheetId="8" r:id="rId8"/>
    <sheet name="4.2.2. Облік промспоживачів " sheetId="9" r:id="rId9"/>
    <sheet name="4.2.3. Облік населення " sheetId="10" r:id="rId10"/>
    <sheet name="4.2.4. Облік населення" sheetId="11" r:id="rId11"/>
    <sheet name="4.3. Стан комерційного облі " sheetId="12" r:id="rId12"/>
    <sheet name="4.3.1.Тех стан вимір  " sheetId="13" r:id="rId13"/>
    <sheet name="4.4. Технічний облік " sheetId="14" r:id="rId14"/>
    <sheet name="4.5. Стан комп'ютерної техніки" sheetId="15" r:id="rId15"/>
    <sheet name="4.6. Стан транспорту " sheetId="16" r:id="rId16"/>
    <sheet name="4.6.1. Аналіз транспорту " sheetId="17" r:id="rId17"/>
    <sheet name="4.6.2  " sheetId="18" r:id="rId18"/>
    <sheet name="4.7. Витрати " sheetId="19" r:id="rId19"/>
    <sheet name="4.8. Характеристика за 5 років" sheetId="20" r:id="rId20"/>
    <sheet name="5. Заг" sheetId="21" r:id="rId21"/>
    <sheet name="5.1. Буд" sheetId="22" r:id="rId22"/>
    <sheet name="5.1.1. Обсяги робіт" sheetId="23" r:id="rId23"/>
    <sheet name="5.2. Зниж" sheetId="24" r:id="rId24"/>
    <sheet name="5.3. АСДТК" sheetId="25" r:id="rId25"/>
    <sheet name="5.3.1  " sheetId="26" r:id="rId26"/>
    <sheet name="5.4. Інф" sheetId="27" r:id="rId27"/>
    <sheet name="5.5. Зв'яз" sheetId="28" r:id="rId28"/>
    <sheet name="5.5. 1 " sheetId="29" r:id="rId29"/>
    <sheet name="5.6. Тран" sheetId="30" r:id="rId30"/>
    <sheet name="5.7 Інше" sheetId="31" r:id="rId31"/>
    <sheet name="6. Пров закупівлі" sheetId="32" r:id="rId32"/>
    <sheet name="Лист2" sheetId="33" r:id="rId33"/>
    <sheet name="Лист3" sheetId="34" r:id="rId34"/>
  </sheets>
  <definedNames>
    <definedName name="_xlnm.Print_Titles" localSheetId="31">'6. Пров закупівлі'!$7:$11</definedName>
    <definedName name="_xlnm.Print_Area" localSheetId="2">'2. Джерела фінансування'!$A$1:$L$27</definedName>
    <definedName name="_xlnm.Print_Area" localSheetId="4">'4. Технічний стан '!$A$1:$F$96</definedName>
    <definedName name="_xlnm.Print_Area" localSheetId="5">'4.1. Характеристика мереж '!$A$1:$I$183</definedName>
    <definedName name="_xlnm.Print_Area" localSheetId="6">'4.2. Облік '!$A$1:$AP$52</definedName>
    <definedName name="_xlnm.Print_Area" localSheetId="10">'4.2.4. Облік населення'!$A$1:$F$10</definedName>
    <definedName name="_xlnm.Print_Area" localSheetId="11">'4.3. Стан комерційного облі '!$A$1:$M$407</definedName>
    <definedName name="_xlnm.Print_Area" localSheetId="15">'4.6. Стан транспорту '!$A$1:$G$72</definedName>
    <definedName name="_xlnm.Print_Area" localSheetId="17">'4.6.2  '!$A$1:$J$26</definedName>
    <definedName name="_xlnm.Print_Area" localSheetId="19">'4.8. Характеристика за 5 років'!$A$1:$G$50</definedName>
    <definedName name="_xlnm.Print_Area" localSheetId="20">'5. Заг'!$A$1:$J$23</definedName>
    <definedName name="_xlnm.Print_Area" localSheetId="22">'5.1.1. Обсяги робіт'!$A$1:$J$90</definedName>
    <definedName name="_xlnm.Print_Area" localSheetId="25">'5.3.1  '!$A$1:$I$55</definedName>
    <definedName name="_xlnm.Print_Area" localSheetId="26">'5.4. Інф'!$A$1:$J$28</definedName>
    <definedName name="_xlnm.Print_Area" localSheetId="28">'5.5. 1 '!$A$1:$I$68</definedName>
    <definedName name="_xlnm.Print_Area" localSheetId="31">'6. Пров закупівлі'!$A$6:$S$227</definedName>
  </definedNames>
  <calcPr fullCalcOnLoad="1"/>
</workbook>
</file>

<file path=xl/comments20.xml><?xml version="1.0" encoding="utf-8"?>
<comments xmlns="http://schemas.openxmlformats.org/spreadsheetml/2006/main">
  <authors>
    <author>Zaharchenko</author>
  </authors>
  <commentList>
    <comment ref="A5" authorId="0">
      <text>
        <r>
          <rPr>
            <b/>
            <sz val="8"/>
            <rFont val="Tahoma"/>
            <family val="2"/>
          </rPr>
          <t>Zaharchenko:</t>
        </r>
        <r>
          <rPr>
            <sz val="8"/>
            <rFont val="Tahoma"/>
            <family val="2"/>
          </rPr>
          <t xml:space="preserve">
Бондаренко В.І.
Хавіна Ел.Ник</t>
        </r>
      </text>
    </comment>
    <comment ref="A23" authorId="0">
      <text>
        <r>
          <rPr>
            <b/>
            <sz val="8"/>
            <rFont val="Tahoma"/>
            <family val="2"/>
          </rPr>
          <t>Zaharchenko:</t>
        </r>
        <r>
          <rPr>
            <sz val="8"/>
            <rFont val="Tahoma"/>
            <family val="2"/>
          </rPr>
          <t xml:space="preserve">
Федорова</t>
        </r>
      </text>
    </comment>
    <comment ref="A25" authorId="0">
      <text>
        <r>
          <rPr>
            <b/>
            <sz val="8"/>
            <rFont val="Tahoma"/>
            <family val="2"/>
          </rPr>
          <t>Zaharchenko:</t>
        </r>
        <r>
          <rPr>
            <sz val="8"/>
            <rFont val="Tahoma"/>
            <family val="2"/>
          </rPr>
          <t xml:space="preserve">
Федорова</t>
        </r>
      </text>
    </comment>
    <comment ref="A26" authorId="0">
      <text>
        <r>
          <rPr>
            <b/>
            <sz val="8"/>
            <rFont val="Tahoma"/>
            <family val="2"/>
          </rPr>
          <t>Zaharchenko:</t>
        </r>
        <r>
          <rPr>
            <sz val="8"/>
            <rFont val="Tahoma"/>
            <family val="2"/>
          </rPr>
          <t xml:space="preserve">
Федорова</t>
        </r>
      </text>
    </comment>
    <comment ref="A27" authorId="0">
      <text>
        <r>
          <rPr>
            <b/>
            <sz val="8"/>
            <rFont val="Tahoma"/>
            <family val="2"/>
          </rPr>
          <t>Zaharchenko:</t>
        </r>
        <r>
          <rPr>
            <sz val="8"/>
            <rFont val="Tahoma"/>
            <family val="2"/>
          </rPr>
          <t xml:space="preserve">
Юрчук</t>
        </r>
      </text>
    </comment>
    <comment ref="A30" authorId="0">
      <text>
        <r>
          <rPr>
            <b/>
            <sz val="8"/>
            <rFont val="Tahoma"/>
            <family val="2"/>
          </rPr>
          <t>Zaharchenko:</t>
        </r>
        <r>
          <rPr>
            <sz val="8"/>
            <rFont val="Tahoma"/>
            <family val="2"/>
          </rPr>
          <t xml:space="preserve">
Цокурова</t>
        </r>
      </text>
    </comment>
    <comment ref="A31" authorId="0">
      <text>
        <r>
          <rPr>
            <b/>
            <sz val="8"/>
            <rFont val="Tahoma"/>
            <family val="2"/>
          </rPr>
          <t>Zaharchenko:</t>
        </r>
        <r>
          <rPr>
            <sz val="8"/>
            <rFont val="Tahoma"/>
            <family val="2"/>
          </rPr>
          <t xml:space="preserve">
Цокурова</t>
        </r>
      </text>
    </comment>
    <comment ref="A32" authorId="0">
      <text>
        <r>
          <rPr>
            <b/>
            <sz val="8"/>
            <rFont val="Tahoma"/>
            <family val="2"/>
          </rPr>
          <t>Zaharchenko:</t>
        </r>
        <r>
          <rPr>
            <sz val="8"/>
            <rFont val="Tahoma"/>
            <family val="2"/>
          </rPr>
          <t xml:space="preserve">
Кунік Вікторія Вячесл</t>
        </r>
      </text>
    </comment>
    <comment ref="A35" authorId="0">
      <text>
        <r>
          <rPr>
            <b/>
            <sz val="8"/>
            <rFont val="Tahoma"/>
            <family val="2"/>
          </rPr>
          <t>Zaharchenko:</t>
        </r>
        <r>
          <rPr>
            <sz val="8"/>
            <rFont val="Tahoma"/>
            <family val="2"/>
          </rPr>
          <t xml:space="preserve">
Цокурова</t>
        </r>
      </text>
    </comment>
    <comment ref="A36" authorId="0">
      <text>
        <r>
          <rPr>
            <b/>
            <sz val="8"/>
            <rFont val="Tahoma"/>
            <family val="2"/>
          </rPr>
          <t>Zaharchenko:</t>
        </r>
        <r>
          <rPr>
            <sz val="8"/>
            <rFont val="Tahoma"/>
            <family val="2"/>
          </rPr>
          <t xml:space="preserve">
Цокурова</t>
        </r>
      </text>
    </comment>
    <comment ref="A37" authorId="0">
      <text>
        <r>
          <rPr>
            <b/>
            <sz val="8"/>
            <rFont val="Tahoma"/>
            <family val="2"/>
          </rPr>
          <t>Zaharchenko:</t>
        </r>
        <r>
          <rPr>
            <sz val="8"/>
            <rFont val="Tahoma"/>
            <family val="2"/>
          </rPr>
          <t xml:space="preserve">
Цокурова</t>
        </r>
      </text>
    </comment>
    <comment ref="A40" authorId="0">
      <text>
        <r>
          <rPr>
            <b/>
            <sz val="8"/>
            <rFont val="Tahoma"/>
            <family val="2"/>
          </rPr>
          <t>Zaharchenko:</t>
        </r>
        <r>
          <rPr>
            <sz val="8"/>
            <rFont val="Tahoma"/>
            <family val="2"/>
          </rPr>
          <t xml:space="preserve">
Цокурова</t>
        </r>
      </text>
    </comment>
    <comment ref="A41" authorId="0">
      <text>
        <r>
          <rPr>
            <b/>
            <sz val="8"/>
            <rFont val="Tahoma"/>
            <family val="2"/>
          </rPr>
          <t>Zaharchenko:</t>
        </r>
        <r>
          <rPr>
            <sz val="8"/>
            <rFont val="Tahoma"/>
            <family val="2"/>
          </rPr>
          <t xml:space="preserve">
Цокурова</t>
        </r>
      </text>
    </comment>
    <comment ref="A42" authorId="0">
      <text>
        <r>
          <rPr>
            <b/>
            <sz val="8"/>
            <rFont val="Tahoma"/>
            <family val="2"/>
          </rPr>
          <t>Zaharchenko:</t>
        </r>
        <r>
          <rPr>
            <sz val="8"/>
            <rFont val="Tahoma"/>
            <family val="2"/>
          </rPr>
          <t xml:space="preserve">
Цокурова</t>
        </r>
      </text>
    </comment>
    <comment ref="A43" authorId="0">
      <text>
        <r>
          <rPr>
            <b/>
            <sz val="8"/>
            <rFont val="Tahoma"/>
            <family val="2"/>
          </rPr>
          <t>Zaharchenko:</t>
        </r>
        <r>
          <rPr>
            <sz val="8"/>
            <rFont val="Tahoma"/>
            <family val="2"/>
          </rPr>
          <t xml:space="preserve">
Юрчук</t>
        </r>
      </text>
    </comment>
    <comment ref="A44" authorId="0">
      <text>
        <r>
          <rPr>
            <b/>
            <sz val="8"/>
            <rFont val="Tahoma"/>
            <family val="2"/>
          </rPr>
          <t>Zaharchenko:</t>
        </r>
        <r>
          <rPr>
            <sz val="8"/>
            <rFont val="Tahoma"/>
            <family val="2"/>
          </rPr>
          <t xml:space="preserve">
Юрчук</t>
        </r>
      </text>
    </comment>
  </commentList>
</comments>
</file>

<file path=xl/comments6.xml><?xml version="1.0" encoding="utf-8"?>
<comments xmlns="http://schemas.openxmlformats.org/spreadsheetml/2006/main">
  <authors>
    <author>Калюжний Тарас Костянтинович</author>
  </authors>
  <commentList>
    <comment ref="G18" authorId="0">
      <text>
        <r>
          <rPr>
            <b/>
            <sz val="9"/>
            <rFont val="Tahoma"/>
            <family val="2"/>
          </rPr>
          <t>Калюжний Тарас Костянтинович:</t>
        </r>
        <r>
          <rPr>
            <sz val="9"/>
            <rFont val="Tahoma"/>
            <family val="2"/>
          </rPr>
          <t xml:space="preserve">
-25,01 реконструкція
</t>
        </r>
      </text>
    </comment>
    <comment ref="G20" authorId="0">
      <text>
        <r>
          <rPr>
            <b/>
            <sz val="9"/>
            <rFont val="Tahoma"/>
            <family val="2"/>
          </rPr>
          <t xml:space="preserve">+25,01 км
</t>
        </r>
      </text>
    </comment>
    <comment ref="H149" authorId="0">
      <text>
        <r>
          <rPr>
            <b/>
            <sz val="9"/>
            <rFont val="Tahoma"/>
            <family val="2"/>
          </rPr>
          <t>Калюжний Тарас Костянтинович:</t>
        </r>
        <r>
          <rPr>
            <sz val="9"/>
            <rFont val="Tahoma"/>
            <family val="2"/>
          </rPr>
          <t xml:space="preserve">
см трансф</t>
        </r>
      </text>
    </comment>
  </commentList>
</comments>
</file>

<file path=xl/sharedStrings.xml><?xml version="1.0" encoding="utf-8"?>
<sst xmlns="http://schemas.openxmlformats.org/spreadsheetml/2006/main" count="7773" uniqueCount="2430">
  <si>
    <t>Вартість одиниці продукції,
тис.грн           (без ПДВ)</t>
  </si>
  <si>
    <t>Усього 4.1.4</t>
  </si>
  <si>
    <t>Прогнозний стан на кінець прогнозного періоду</t>
  </si>
  <si>
    <t>4.3. Стан комерційного обліку електричної енергії на початок прогнозного періоду *</t>
  </si>
  <si>
    <t>Виробник лічильників</t>
  </si>
  <si>
    <t>Відповідність лічильника вимогам Інструкції про порядок комерційного обліку електричної енергії**</t>
  </si>
  <si>
    <t>Відповідність точки обліку вимогам Інструкції про порядок комерційного обліку електричної енергії**</t>
  </si>
  <si>
    <t>** Додаток 10 до Договору між Членами  Оптового ринку електричної енергії України.</t>
  </si>
  <si>
    <t>* Указати всі точки комерційного обліку з суміжними ліцензіатами (ОРЕ, електропередавальні організації, генеруючі підприємства).</t>
  </si>
  <si>
    <t>4.3.1. Технічний стан вимірювальних трансформаторів струму та напруги точок комерційного обліку</t>
  </si>
  <si>
    <t>Трансформатори напруги (ТН), усього</t>
  </si>
  <si>
    <t>Трансформатори струму (ТС), усього</t>
  </si>
  <si>
    <t>4.4. Стан технічного обліку електричної енергії на початок прогнозного періоду</t>
  </si>
  <si>
    <t>Кількість точок обліку, шт</t>
  </si>
  <si>
    <t>Відповідність лічильника вимогам Інструкції про порядок комерційного обліку електричної енергії*</t>
  </si>
  <si>
    <t>4.5. Стан комп'ютерної техніки на початок прогнозного періоду</t>
  </si>
  <si>
    <t>4.6. Узагальнений порівняльний аналіз змін технічного стану колісних транспортних засобів, спеціальних машин та механізмів, виконаних на колісних шасі*</t>
  </si>
  <si>
    <t>Загальна кількість колісної техніки</t>
  </si>
  <si>
    <t>Бурильно-кранові машини</t>
  </si>
  <si>
    <t>Автовежі телескопічні та підіймачі</t>
  </si>
  <si>
    <t>Автомобільні  електромеханічні майстерні</t>
  </si>
  <si>
    <t>Електролабораторії</t>
  </si>
  <si>
    <t xml:space="preserve">Автомобілі (вахтові) для перевезення бригад робітників             </t>
  </si>
  <si>
    <t>у т.ч. для оперативних виїзних бригад (ОВБ)</t>
  </si>
  <si>
    <t>Вантажні автомобілі</t>
  </si>
  <si>
    <t>Автомобілі для перевезення вантажів та пасажирів</t>
  </si>
  <si>
    <t>Автомобілі з кузовами типів фургон, пікап</t>
  </si>
  <si>
    <t>Автобуси категорії М3 та М2 ("мікроавтобуси")</t>
  </si>
  <si>
    <t>Трактори і механізми, виконані на їх базі</t>
  </si>
  <si>
    <t>Причепи, напівпричепи</t>
  </si>
  <si>
    <t>Автомайстерні</t>
  </si>
  <si>
    <t>Спеціальні автомобілі, виконані на шасі вантажівок</t>
  </si>
  <si>
    <t>Автонавантажувачі</t>
  </si>
  <si>
    <t>1.19</t>
  </si>
  <si>
    <t>Інші види колісної техніки (розшифрувати)</t>
  </si>
  <si>
    <t>4.6.2. Розрахунок економічної ефективності закупівлі колісної техніки на прогнозний період</t>
  </si>
  <si>
    <t>Марка колісної техніки, що підлягає заміні</t>
  </si>
  <si>
    <t>Марка колісної техніки, що пропонується на заміну</t>
  </si>
  <si>
    <t>зменшення витрат на технічне обслуговування і ремонт</t>
  </si>
  <si>
    <t>загальний очікуваний економічний ефект від заміни колісної техніки</t>
  </si>
  <si>
    <r>
      <t>строк окупності, років</t>
    </r>
  </si>
  <si>
    <t>4.7. Витрати електричної енергії*</t>
  </si>
  <si>
    <t>Показник</t>
  </si>
  <si>
    <t>Фактичне надходження електричної енергії</t>
  </si>
  <si>
    <t>Нормативні технологічні витрати</t>
  </si>
  <si>
    <t>Небаланс**</t>
  </si>
  <si>
    <t>*Колонки „млн. кВт•год” та „%” заповнюються відповідно до форми 1Б-ТВЕ. Колонка „млн. грн” заповнюється тільки для рядків „Нормативні технологічні витрати” та „Небаланс”, при цьому розрахунок вартості здійснюється шляхом додавання помісячних даних економії (збитків), отриманих ліцензіатом внаслідок різниці між фактичними та нормативними витратами. Місячний обсяг економії (збитків), отриманих ліцензіатом, розраховується як добуток обсягів небалансу електричної енергії та фактичної середньозваженої оптової ринкової ціни, яка розрахована відповідно до Правил Оптового ринку електричної енергії України.</t>
  </si>
  <si>
    <t>** Різниця між звітним значенням технологічних витрат електричної енергії та нормативним значенням технологічних витрат електричної енергії.</t>
  </si>
  <si>
    <t>у тому числі по 2 класу напруги</t>
  </si>
  <si>
    <t>Загальна довжина електричних мереж, км **</t>
  </si>
  <si>
    <t>0,38 кВ</t>
  </si>
  <si>
    <t>Середньооблікова чисельність персоналу, осіб</t>
  </si>
  <si>
    <t>у тому числі з передачі</t>
  </si>
  <si>
    <t>Річна виручка від передачі електричної енергії, тис. грн.</t>
  </si>
  <si>
    <t>Операційні витрати з передачі електричної енергії, тис. грн.</t>
  </si>
  <si>
    <t>Річний обсяг постачання електричної енергії, млн. кВт.год</t>
  </si>
  <si>
    <t>Річна виручка від постачання електричної енергії, тис. грн.</t>
  </si>
  <si>
    <t>Операційні витрати з постачання електричної енергії, тис. грн.</t>
  </si>
  <si>
    <t>Прибуток усього, тис. грн.</t>
  </si>
  <si>
    <t>Релейного захисту та автоматики</t>
  </si>
  <si>
    <t>Зв'язку та обчислювальної техніки</t>
  </si>
  <si>
    <t>У т.ч. по роках:</t>
  </si>
  <si>
    <t>Заходи зі зниження нетехнічних витрат електричної енергії</t>
  </si>
  <si>
    <t>Впровадження та розвиток  автоматизованих систем диспетчерсько-технологічного керування (АСДТК)</t>
  </si>
  <si>
    <t>Впровадження та розвиток систем зв'язку</t>
  </si>
  <si>
    <t>Модернізація та закупівля колісної техніки</t>
  </si>
  <si>
    <t>усього на рік</t>
  </si>
  <si>
    <t xml:space="preserve">економічний ефект </t>
  </si>
  <si>
    <t>млн. кВт.год</t>
  </si>
  <si>
    <t>окупність у роках</t>
  </si>
  <si>
    <t>Будівництво нових ЛЕП (КЛ, ПЛ), усього з них:</t>
  </si>
  <si>
    <t>1.1.4.1</t>
  </si>
  <si>
    <t>у т.ч. з магістральними ізольованими проводами</t>
  </si>
  <si>
    <t>Реконструкція ЛЕП (КЛ, ПЛ), усього з них:</t>
  </si>
  <si>
    <t>1.2.4.1</t>
  </si>
  <si>
    <t>Будівництво нових ПС, РП та ТП, усього з них:</t>
  </si>
  <si>
    <t>1.3.1</t>
  </si>
  <si>
    <t>1.3.2</t>
  </si>
  <si>
    <t>Реконструкція ПС, ТП та РП, усього з них:</t>
  </si>
  <si>
    <t>1.4.1</t>
  </si>
  <si>
    <t>1.4.2</t>
  </si>
  <si>
    <t>1.4.3</t>
  </si>
  <si>
    <t>1.5.3</t>
  </si>
  <si>
    <t>5.1.1. Обсяги будівництва, реконструкції та модернізації об'єктів електричних мереж на прогнозний період</t>
  </si>
  <si>
    <t>Інвентарний номер об'єкта</t>
  </si>
  <si>
    <t>реконструкція без улаштування розвантажувальних ТП</t>
  </si>
  <si>
    <t>3.2.1.1</t>
  </si>
  <si>
    <t>6.1.1</t>
  </si>
  <si>
    <t>8.1</t>
  </si>
  <si>
    <t>8.1.1</t>
  </si>
  <si>
    <t>8.2</t>
  </si>
  <si>
    <t>8.2.1</t>
  </si>
  <si>
    <t>ТП, РП-6 (10) кВ, усього</t>
  </si>
  <si>
    <t>11.1</t>
  </si>
  <si>
    <t>11.1.1</t>
  </si>
  <si>
    <t>11.2</t>
  </si>
  <si>
    <t>11.2.1</t>
  </si>
  <si>
    <t>11.3</t>
  </si>
  <si>
    <t>11.3.1</t>
  </si>
  <si>
    <t>КЛ-110 кВ, усього</t>
  </si>
  <si>
    <t>5.1</t>
  </si>
  <si>
    <t>5.1.1</t>
  </si>
  <si>
    <t>5.2</t>
  </si>
  <si>
    <t>5.2.1</t>
  </si>
  <si>
    <t>* За наявності проектної документації вказати дату і номер документа про її затвердження.</t>
  </si>
  <si>
    <t>У разі відсутності проектної документації вказати дату, до якої планується виготовлення цієї документації.</t>
  </si>
  <si>
    <t>5.2. Заходи зі зниження нетехнічних витрат електричної енергії</t>
  </si>
  <si>
    <t>економічний ефект (зниження ТВЕ)</t>
  </si>
  <si>
    <t>Покращення обліку електричної енергії, у т.ч.:</t>
  </si>
  <si>
    <t xml:space="preserve">  впровадження обліку електричної енергії на межі структурних підрозділів (районів електричних мереж, філій)</t>
  </si>
  <si>
    <t>впровадження обліку споживання електричної енергії населенням, у т.ч.:</t>
  </si>
  <si>
    <t>придбання стендів повірки, зразкових лічильників, повірочних лабораторій</t>
  </si>
  <si>
    <t>кількість*</t>
  </si>
  <si>
    <t>1.3.</t>
  </si>
  <si>
    <t>5.3. Впровадження та розвиток АСДТК</t>
  </si>
  <si>
    <t>Телемеханіка підстанцій</t>
  </si>
  <si>
    <t>Назва складової частини проекта</t>
  </si>
  <si>
    <t>Період реалізації складової частини проекту</t>
  </si>
  <si>
    <t xml:space="preserve">Усього </t>
  </si>
  <si>
    <t>5.4. Впровадження та розвиток інформаційних технологій</t>
  </si>
  <si>
    <t>Закупівля нових та модернізація наявних апаратних засобів інформатизації, у т.ч.:</t>
  </si>
  <si>
    <t>закупівля та модернізація робочих станцій</t>
  </si>
  <si>
    <t>закупівля та модернізація серверів</t>
  </si>
  <si>
    <t>закупівля та модернізація активного обладнання комп'ютерних мереж</t>
  </si>
  <si>
    <t>побудова та модернізація структурованих кабельних мереж</t>
  </si>
  <si>
    <t>Закупівля системного програмного забезпечення, у т.ч.:</t>
  </si>
  <si>
    <t>для робочих станцій</t>
  </si>
  <si>
    <t>для серверів</t>
  </si>
  <si>
    <t xml:space="preserve">інше </t>
  </si>
  <si>
    <t>Закупівля та модернізація прикладного програмного забезпечення, у т.ч.:</t>
  </si>
  <si>
    <t>офісного</t>
  </si>
  <si>
    <t>захисту інформації</t>
  </si>
  <si>
    <t>геоінформаційних систем</t>
  </si>
  <si>
    <t>систем електронного документообігу</t>
  </si>
  <si>
    <t>систем керування взаємовідносинами зі споживачами</t>
  </si>
  <si>
    <t>інше</t>
  </si>
  <si>
    <t>Впровадження та модернізація контакт-центрів</t>
  </si>
  <si>
    <t>5.5. Впровадження та розвиток системи зв'язку</t>
  </si>
  <si>
    <t>впровадження корпоративного зв'язку ліцензіата</t>
  </si>
  <si>
    <t>цифрові автоматичні телефонні станції (АТС)</t>
  </si>
  <si>
    <t>модернізація наявних видів зв'язку (радіо, високочастотні, радіорелейні тощо)</t>
  </si>
  <si>
    <t>резервне електроживлення засобів зв'язку</t>
  </si>
  <si>
    <t>Упровадження та розвиток магістральних ліній зв'язку, у тому числі:</t>
  </si>
  <si>
    <t>Упровадження та розвиток ліній зв'язку "останньої милі", у тому числі:</t>
  </si>
  <si>
    <t>Упровадження та розвиток локальних обчислювальних мереж (зокрема СКС), у тому числі</t>
  </si>
  <si>
    <t>5.6. Модернізація та закупівля колісної техніки</t>
  </si>
  <si>
    <t>5.7. Інше</t>
  </si>
  <si>
    <t>економічний ефект (окупність у роках)</t>
  </si>
  <si>
    <t>"____" ____________ 20___ року</t>
  </si>
  <si>
    <t>Додаток 1</t>
  </si>
  <si>
    <t xml:space="preserve">до Порядку подання, розгляду, схвалення та </t>
  </si>
  <si>
    <t>виконання інвестиційних програм ліцензіатів</t>
  </si>
  <si>
    <t>з передачі та постачання електричної енергії</t>
  </si>
  <si>
    <t>5.5.1. Етапи впровадження системи зв'язку</t>
  </si>
  <si>
    <t>Група за роком випуску</t>
  </si>
  <si>
    <t>2018 рік</t>
  </si>
  <si>
    <t xml:space="preserve">             Кількість установлених лічильників, шт.</t>
  </si>
  <si>
    <t>1,0 і краще</t>
  </si>
  <si>
    <t>1,0 
та краще</t>
  </si>
  <si>
    <t>Комп'ютери 2013 року випуску</t>
  </si>
  <si>
    <t>Річний обсяг передачі електричної енергії (відпуск з мережі), млн. кВт.год</t>
  </si>
  <si>
    <t>** Без довжини вводів в індивідуальні житлові будинки та довжини внутрішньобудинкових мереж.</t>
  </si>
  <si>
    <t>110 кВ (150 кВ)</t>
  </si>
  <si>
    <t>110 кВ (220,150 кВ)</t>
  </si>
  <si>
    <t>Рік будівництва або попередньої реконструкції</t>
  </si>
  <si>
    <t>реконструкція ПЛ-0,4 кВ голим проводом</t>
  </si>
  <si>
    <t>4.2.1.1</t>
  </si>
  <si>
    <t>рекострукція ПЛ-0,4 кВ самоутримним ізольованим проводом</t>
  </si>
  <si>
    <t>4.2.2.1</t>
  </si>
  <si>
    <t xml:space="preserve">заміна вимірювальних трансформаторів </t>
  </si>
  <si>
    <t>Система керування й отримання даних</t>
  </si>
  <si>
    <t>5.3.1. Етапи впровадження  проекту АСДТК ліцензіата</t>
  </si>
  <si>
    <t>інші засоби інформатизації</t>
  </si>
  <si>
    <t>інформаційна система управління виробництвом</t>
  </si>
  <si>
    <t xml:space="preserve">0,4 кВ </t>
  </si>
  <si>
    <t>Модернізація ПС, ТП та РП, усього, з них:</t>
  </si>
  <si>
    <t>Покращення обліку електроенергії, у т.ч.:</t>
  </si>
  <si>
    <t>впровадження обліку споживання електроенергії населенням, у т.ч.:</t>
  </si>
  <si>
    <t>Однофазні лічильники ел.енергії електронні 1-тарифні 2-елементні, 5-60 А</t>
  </si>
  <si>
    <t>Трифазні лічильники ел.енергії електронні 5-100 А, 220/380 В</t>
  </si>
  <si>
    <t xml:space="preserve">Телемеханіка підстанцій                                                      </t>
  </si>
  <si>
    <t>впровадження корпоративного зв`язку ліцензіата</t>
  </si>
  <si>
    <t>6</t>
  </si>
  <si>
    <t>№ сторінки обґрунтовуваль-них матеріалів</t>
  </si>
  <si>
    <t>4.8. Загальна характеристика ліцензіата ПАТ "ЧЕРНІГІВОБЛЕНЕРГО" в динаміці за останні п'ять років</t>
  </si>
  <si>
    <t xml:space="preserve"> "___" ________________ 20___ року</t>
  </si>
  <si>
    <t>3.2.2</t>
  </si>
  <si>
    <t>реконструкція з улаштуванням розвантажувальних ТП</t>
  </si>
  <si>
    <t>3.2.2.1</t>
  </si>
  <si>
    <t>9.3.2</t>
  </si>
  <si>
    <t xml:space="preserve">Закупівля нових та модернізація наявних апаратних засобів інформатизації, у т.ч.: </t>
  </si>
  <si>
    <t>Закупівля та модернізація робочих станцій</t>
  </si>
  <si>
    <t xml:space="preserve">Закупівля та модернізація прикладного програмного забезпечення, у т.ч.: </t>
  </si>
  <si>
    <t>не розрах.</t>
  </si>
  <si>
    <t>4. Узагальнений технічний стан об'єктів електричних мереж</t>
  </si>
  <si>
    <t>Назва обладнання та якісна оцінка*</t>
  </si>
  <si>
    <t>1.</t>
  </si>
  <si>
    <t>Повітряні лінії (ПЛ)-220 кВ, усього</t>
  </si>
  <si>
    <t>км                    (по трасі)</t>
  </si>
  <si>
    <t>у доброму стані</t>
  </si>
  <si>
    <t>підлягає реконструкції</t>
  </si>
  <si>
    <t>підлягає капітальному ремонту</t>
  </si>
  <si>
    <t>підлягає повній заміні</t>
  </si>
  <si>
    <t>2.</t>
  </si>
  <si>
    <t>3.</t>
  </si>
  <si>
    <t>4.</t>
  </si>
  <si>
    <t>5.</t>
  </si>
  <si>
    <t>6.</t>
  </si>
  <si>
    <t>Кабельні лінії (КЛ)-220 кВ, усього</t>
  </si>
  <si>
    <t>з ізоляцією зі зшитого поліетилену</t>
  </si>
  <si>
    <t>7.</t>
  </si>
  <si>
    <t>КЛ-110 (150) кВ, усього</t>
  </si>
  <si>
    <t>8.</t>
  </si>
  <si>
    <t>9.</t>
  </si>
  <si>
    <t>10.</t>
  </si>
  <si>
    <t>11.</t>
  </si>
  <si>
    <t>Підстанції (ПС) з вищим класом напруги 220 кВ, усього</t>
  </si>
  <si>
    <t>12.</t>
  </si>
  <si>
    <t>13.</t>
  </si>
  <si>
    <t>14.</t>
  </si>
  <si>
    <t>Трансформаторні підстанції (ТП), розподільні пункти (РП)-6 (10) кВ, усього</t>
  </si>
  <si>
    <t>15.</t>
  </si>
  <si>
    <t>Силові трансформатори ПС вищою напругою 220 кВ, усього</t>
  </si>
  <si>
    <t>вимагають заміни з метою зниження технологічних витрат електричної енергії (ТВЕ)</t>
  </si>
  <si>
    <t>вимагають заміни як такі, що не підлягають ремонту</t>
  </si>
  <si>
    <t>16.</t>
  </si>
  <si>
    <t>Силові трансформатори ПС вищою напругою 110 (150) кВ, усього</t>
  </si>
  <si>
    <t>вимагають заміни з метою зниження ТВЕ</t>
  </si>
  <si>
    <t>17.</t>
  </si>
  <si>
    <t>Силові трансформатори ПС вищою напругою 35 кВ, усього</t>
  </si>
  <si>
    <t>18.</t>
  </si>
  <si>
    <t>Силові трансформатори ПС вищою напругою 6-10 кВ, усього</t>
  </si>
  <si>
    <t>* Оцінку необхідності капітального ремонту або повної заміни ліній електропередачі (ЛЕП) проводити за пріоритетом реального технічного стану, а не з періодичності капітального ремонту.</t>
  </si>
  <si>
    <t>4.1. Характеристика електричних мереж</t>
  </si>
  <si>
    <t>Одиниці виміру</t>
  </si>
  <si>
    <t>Довжина повітряних ліній електропередачі, усього по колах</t>
  </si>
  <si>
    <t>км / %</t>
  </si>
  <si>
    <t xml:space="preserve">з них на дерев'яних опорах </t>
  </si>
  <si>
    <t>з них на дерев'яних опорах</t>
  </si>
  <si>
    <t>напругою 0,4 кВ і нижче</t>
  </si>
  <si>
    <t>с проводом стальним (ПС)</t>
  </si>
  <si>
    <t>з ізольованим проводом (магістральним)</t>
  </si>
  <si>
    <t>перекидок 0,4 кВ, усього</t>
  </si>
  <si>
    <t>шт. / км</t>
  </si>
  <si>
    <t>у т.ч. с ізольованими проводами (кабелями)</t>
  </si>
  <si>
    <t>Довжина кабельних ліній електропередачі, усього</t>
  </si>
  <si>
    <t>з них працюють понад 30 років</t>
  </si>
  <si>
    <t xml:space="preserve">напругою 0,4 кВ і нижче    </t>
  </si>
  <si>
    <t>Кількість власних знижувальних ПС 35-220 кВ та потужність силових трансформаторів на них, усього</t>
  </si>
  <si>
    <t>шт. / МВА</t>
  </si>
  <si>
    <t>220 кВ</t>
  </si>
  <si>
    <t>150 кВ</t>
  </si>
  <si>
    <t>Кількість власних знижувальних ПС 35-220 кВ , усього, з них такі, які мають:</t>
  </si>
  <si>
    <t>два і більше трансформатори</t>
  </si>
  <si>
    <t>шт. / %</t>
  </si>
  <si>
    <t>два і більше джерел живлення</t>
  </si>
  <si>
    <t>телемеханіку в повному обсязі</t>
  </si>
  <si>
    <t>пристрої компенсації ємкістного струму</t>
  </si>
  <si>
    <t>пристрої компенсації реактивної потужності</t>
  </si>
  <si>
    <t>Кількість та потужність силових трансформаторів, установлених на знижувальних підстанціях напругою 6-220 кВ (без трансформаторів  для підключення заземлювальних реакторів та трансформаторів власних потреб), усього</t>
  </si>
  <si>
    <t>з них працюють більше 25 років</t>
  </si>
  <si>
    <t>шт. / % / МВА</t>
  </si>
  <si>
    <t>з них працюють понад 25 років</t>
  </si>
  <si>
    <t>напругою 110 кВ (150 кВ)</t>
  </si>
  <si>
    <t>напругою 6 - 10 кВ</t>
  </si>
  <si>
    <t>Кількість короткозамикачів, установлених на знижувальних підстанціях напругою 35-220 кВ, усього</t>
  </si>
  <si>
    <t>з них потребують заміни</t>
  </si>
  <si>
    <t>Кількість відокремлювачів, установлених на знижувальних підстанціях напругою 35-220 кВ, усього</t>
  </si>
  <si>
    <t>Кількість роз'єднувачів, установлених на знижувальних підстанціях напругою 35-220 кВ, усього</t>
  </si>
  <si>
    <t>Кількість вимикачів, установлених на об'єктах  електричних мереж напругою 6-220 кВ, усього</t>
  </si>
  <si>
    <t>у т. ч.:</t>
  </si>
  <si>
    <t>напругою 220 кВ, з них:</t>
  </si>
  <si>
    <t>масляних</t>
  </si>
  <si>
    <t>повітряних</t>
  </si>
  <si>
    <t>електромагнітних</t>
  </si>
  <si>
    <t>вакуумних</t>
  </si>
  <si>
    <t>елегазових, у т.ч.:</t>
  </si>
  <si>
    <t>бакових</t>
  </si>
  <si>
    <t>колонкових</t>
  </si>
  <si>
    <t>напругою 150 кВ, з них:</t>
  </si>
  <si>
    <t>напругою 110 кВ, з них:</t>
  </si>
  <si>
    <t>напругою 35 кВ, з них:</t>
  </si>
  <si>
    <t>напругою 6-10 кВ, з них:</t>
  </si>
  <si>
    <t>Кількість вимикачів, що випрацювали термін служби</t>
  </si>
  <si>
    <t>Кількість вимикачів, що не відповідають струмам короткого замикання в електромережі, але експлуатуються, усього</t>
  </si>
  <si>
    <t>Кількість і потужність підстанцій 6 - 10/0,4 кВ, усього</t>
  </si>
  <si>
    <t>відкритих</t>
  </si>
  <si>
    <t xml:space="preserve">   однотрансформаторних</t>
  </si>
  <si>
    <t xml:space="preserve">   з них щоглових</t>
  </si>
  <si>
    <t xml:space="preserve">   двотрансформаторних</t>
  </si>
  <si>
    <t>закритих</t>
  </si>
  <si>
    <t>Кількість РП 6-20 кВ, усього</t>
  </si>
  <si>
    <t>Кількість повітряних фідерів 6-10 кВ, усього</t>
  </si>
  <si>
    <t>довжиною з відгалуженнями до 15 км</t>
  </si>
  <si>
    <t>з відгалуженями від 15 до 50 км</t>
  </si>
  <si>
    <t>довжиною з відгалуженнями понад 50 км</t>
  </si>
  <si>
    <t>Кількість лінійних та підстанціонних роз'єднувачів напругою 6-10 кВ, усього</t>
  </si>
  <si>
    <t>Кількість вимикачів  навантаження 6-10 кВ, усього</t>
  </si>
  <si>
    <t xml:space="preserve">Довжина грозозахисного тросу по трасі ПЛ 35-220кВ, усього </t>
  </si>
  <si>
    <t>з них підлягають заміні та відновленню</t>
  </si>
  <si>
    <t>на лініях напругою 220 кВ</t>
  </si>
  <si>
    <t>на лініях напругою 150 кВ</t>
  </si>
  <si>
    <t>на лініях напругою 110 кВ</t>
  </si>
  <si>
    <t>на лініях напругою 35 кВ</t>
  </si>
  <si>
    <t>Кількість обмежувачів перенапруги (ОПН) , усього</t>
  </si>
  <si>
    <t>напругою 150кВ</t>
  </si>
  <si>
    <t>напругою 110кВ</t>
  </si>
  <si>
    <t>напругою 35кВ</t>
  </si>
  <si>
    <t>напругою 6-10кВ</t>
  </si>
  <si>
    <t>Чернігівські МЕМ</t>
  </si>
  <si>
    <t>Ніжинський РЕМ</t>
  </si>
  <si>
    <t>Ічнянський РЕМ</t>
  </si>
  <si>
    <t>Прилуцький РЕМ</t>
  </si>
  <si>
    <t>Борзнянський РЕМ (8 ПС)</t>
  </si>
  <si>
    <t>Чернігівський РЕМ (3 ПС)</t>
  </si>
  <si>
    <t>Бобровицький РЕМ</t>
  </si>
  <si>
    <t>Центральний диспетчерський пункт ПАТ "Чернігівобленерго"</t>
  </si>
  <si>
    <t>Бахмачський РЕМ</t>
  </si>
  <si>
    <t>Менський РЕМ</t>
  </si>
  <si>
    <t>12</t>
  </si>
  <si>
    <t>Городнянський РЕМ</t>
  </si>
  <si>
    <t>13</t>
  </si>
  <si>
    <t>Корюківський РЕМ (1 ПС)</t>
  </si>
  <si>
    <t>14</t>
  </si>
  <si>
    <t>Корюківський РЕМ (5 ПС)</t>
  </si>
  <si>
    <t>15</t>
  </si>
  <si>
    <t>Борзнянський РЕМ (1 ПС)</t>
  </si>
  <si>
    <t>16</t>
  </si>
  <si>
    <t>Носівський РЕМ</t>
  </si>
  <si>
    <t>17</t>
  </si>
  <si>
    <t>Щорський РЕМ</t>
  </si>
  <si>
    <t>18</t>
  </si>
  <si>
    <t>Козелецький РЕМ (9 ПС)</t>
  </si>
  <si>
    <t>19</t>
  </si>
  <si>
    <t>Козелецький РЕМ (2 ПС)</t>
  </si>
  <si>
    <t>20</t>
  </si>
  <si>
    <t>21</t>
  </si>
  <si>
    <t>Коропський РЕМ</t>
  </si>
  <si>
    <t>22</t>
  </si>
  <si>
    <t>Семенівський РЕМ</t>
  </si>
  <si>
    <t>Чернігівський РЕМ (13 ПС)</t>
  </si>
  <si>
    <t>24</t>
  </si>
  <si>
    <t>Н.Сіверський РЕМ</t>
  </si>
  <si>
    <t>Куликівський РЕМ</t>
  </si>
  <si>
    <t>Сосницький РЕМ</t>
  </si>
  <si>
    <t>27</t>
  </si>
  <si>
    <t>Варвинський РЕМ</t>
  </si>
  <si>
    <t>28</t>
  </si>
  <si>
    <t>Срібнянський РЕМ</t>
  </si>
  <si>
    <t>29</t>
  </si>
  <si>
    <t>Талалаєвський РЕМ</t>
  </si>
  <si>
    <t>2.10</t>
  </si>
  <si>
    <t>2.11</t>
  </si>
  <si>
    <t>2.12</t>
  </si>
  <si>
    <t>2.13</t>
  </si>
  <si>
    <t>2.14</t>
  </si>
  <si>
    <t>2.16</t>
  </si>
  <si>
    <t>2.17</t>
  </si>
  <si>
    <t>2.18</t>
  </si>
  <si>
    <t>2.19</t>
  </si>
  <si>
    <t>2.20</t>
  </si>
  <si>
    <t>2.21</t>
  </si>
  <si>
    <t>2.22</t>
  </si>
  <si>
    <t>2.23</t>
  </si>
  <si>
    <t>2.24</t>
  </si>
  <si>
    <t>2.25</t>
  </si>
  <si>
    <t>2.26</t>
  </si>
  <si>
    <t>2.27</t>
  </si>
  <si>
    <t>2.28</t>
  </si>
  <si>
    <t>2.29</t>
  </si>
  <si>
    <t>—</t>
  </si>
  <si>
    <t>СТК3-05..T..</t>
  </si>
  <si>
    <t>Телекарт-Україна</t>
  </si>
  <si>
    <t>немає</t>
  </si>
  <si>
    <t>СТК3-10..T..</t>
  </si>
  <si>
    <t>СТК3-05..H..</t>
  </si>
  <si>
    <t>СТК3-10..H..</t>
  </si>
  <si>
    <t>ET2A..</t>
  </si>
  <si>
    <t>ЗАО "Элвин"</t>
  </si>
  <si>
    <t>ET3A..</t>
  </si>
  <si>
    <t>ET2B..</t>
  </si>
  <si>
    <t>ET3B..</t>
  </si>
  <si>
    <t>LZQM.311..</t>
  </si>
  <si>
    <t xml:space="preserve">Elgama-Украина </t>
  </si>
  <si>
    <t>6..10</t>
  </si>
  <si>
    <t>LZQM.331..</t>
  </si>
  <si>
    <t>EMS 132..</t>
  </si>
  <si>
    <t>EMP</t>
  </si>
  <si>
    <t>NP-03..</t>
  </si>
  <si>
    <t>АДД-Энергия</t>
  </si>
  <si>
    <t>Альфа</t>
  </si>
  <si>
    <t>АББ Метроника</t>
  </si>
  <si>
    <t>0.4..10</t>
  </si>
  <si>
    <t>EA05</t>
  </si>
  <si>
    <t>ФПН 2302</t>
  </si>
  <si>
    <t>Финтроник</t>
  </si>
  <si>
    <t>ФПН 2306</t>
  </si>
  <si>
    <t>Z..B405..</t>
  </si>
  <si>
    <t>Landis&amp;Gyr</t>
  </si>
  <si>
    <t>Z..B410..</t>
  </si>
  <si>
    <t>Z..D405..</t>
  </si>
  <si>
    <t>Z..D410..</t>
  </si>
  <si>
    <t>Z..G410..</t>
  </si>
  <si>
    <t>SL7000</t>
  </si>
  <si>
    <t>Actaris</t>
  </si>
  <si>
    <t>ЛО..</t>
  </si>
  <si>
    <t>Облік</t>
  </si>
  <si>
    <t>ЛТЕ...</t>
  </si>
  <si>
    <t>ВАТ "Меридіан"</t>
  </si>
  <si>
    <t>СА3У..</t>
  </si>
  <si>
    <t>ЛЭМЗ</t>
  </si>
  <si>
    <t>СА4У..</t>
  </si>
  <si>
    <t>СО…</t>
  </si>
  <si>
    <t>ВЗЭТ</t>
  </si>
  <si>
    <t>СОЭ…</t>
  </si>
  <si>
    <t>LZQJ-XC</t>
  </si>
  <si>
    <t>EMH</t>
  </si>
  <si>
    <t>CE</t>
  </si>
  <si>
    <t>Концерн "Энергомера"</t>
  </si>
  <si>
    <t>НiK</t>
  </si>
  <si>
    <t>ТОВ "НіК"</t>
  </si>
  <si>
    <t xml:space="preserve">ПС 330 Чернігівська   ПЛ-110 ЧнТЕЦ </t>
  </si>
  <si>
    <t>SL761</t>
  </si>
  <si>
    <t>є</t>
  </si>
  <si>
    <t>B071</t>
  </si>
  <si>
    <t>Metering</t>
  </si>
  <si>
    <t>ПС 330 Чернігівська   ПЛ-110 Розгрузочна</t>
  </si>
  <si>
    <t>ПС 330 Чернігівська   ПЛ-110 Тягова</t>
  </si>
  <si>
    <t>ПС 330 Чернігівська   ПЛ-110 Славутич</t>
  </si>
  <si>
    <t>ПС 330 Чернігівська   ПЛ-110 Придеснянська</t>
  </si>
  <si>
    <t xml:space="preserve">ПС 330 Чернігівська   ПЛ-110 Ріпки </t>
  </si>
  <si>
    <t xml:space="preserve">ПС 330 Чернігівська   ПЛ-110 ЗАЗ-1 </t>
  </si>
  <si>
    <t>ПС 330 Чернігівська   ПЛ-110 ЗАЗ-2</t>
  </si>
  <si>
    <t xml:space="preserve"> </t>
  </si>
  <si>
    <t>ст.112</t>
  </si>
  <si>
    <t>Р.В.Стройний</t>
  </si>
  <si>
    <t xml:space="preserve">Директор фінансовий </t>
  </si>
  <si>
    <t>М.П.</t>
  </si>
  <si>
    <t>Система керування  й отримання даних</t>
  </si>
  <si>
    <t>тис.грн без ПДВ</t>
  </si>
  <si>
    <t>Обсяг здійсненого фінансування з початку виконання робіт на дату початку базового періоду,             тис.грн (без ПДВ)</t>
  </si>
  <si>
    <t>Обсяг фінансування, передбачений інвестиційною програмою на базовий період, тис. грн (без ПДВ)</t>
  </si>
  <si>
    <t>Вартість виконаних робіт (згідно з актами) з початку виконання робіт на дату початку базового періоду,  тис.грн (без ПДВ)</t>
  </si>
  <si>
    <t>Обсяг незавершеного будівництва станом на дату початку базового періоду,                 тис.грн (без ПДВ)</t>
  </si>
  <si>
    <t>Залишок кошторисної вартості  на дату початку базового періоду,              тис.грн (без ПДВ)</t>
  </si>
  <si>
    <t>Обсяг фінансування, передбачений інвестиційною програмою на прогнозний період, тис. грн (без ПДВ)</t>
  </si>
  <si>
    <t>тис.грн (без ПДВ)</t>
  </si>
  <si>
    <t>тис.грн                   (без ПДВ)</t>
  </si>
  <si>
    <t>Вартість нової одиниці колісної техніки, що пропонується на заміну,               тис.грн                     (без ПДВ)</t>
  </si>
  <si>
    <t>Очікуваний річний економічний ефект (тис.грн без ПДВ) від:</t>
  </si>
  <si>
    <t>Вартість одиниці продукції,
тис.грн (без ПДВ)</t>
  </si>
  <si>
    <t>капіталовкладення,
тис. грн (без ПДВ)</t>
  </si>
  <si>
    <t>тис.грн               (без ПДВ)</t>
  </si>
  <si>
    <t>тис.грн                  (без ПДВ)</t>
  </si>
  <si>
    <t>Вартість реалізації  складової частини проекту відповідно до проектної документації,               тис.грн (без ПДВ)</t>
  </si>
  <si>
    <t xml:space="preserve">Фактичне фінансування реалізації складової частини проекту станом на дату початку базового періоду, тис.грн (без ПДВ)  </t>
  </si>
  <si>
    <t xml:space="preserve">Фінансування реалізації складової частини проекту, перебдачене інвестиційною програмою на базовий період,                                 тис.грн (без ПДВ)  </t>
  </si>
  <si>
    <t>Фінансування, передбачене на реалізацію складової частини проекту інвестиційною програмою на прогнозний пеіод , тис.грн (без ПДВ)</t>
  </si>
  <si>
    <t>Сума коштів, необхідна для завершення реалізації складової частини проекту з розбивкою по роках, тис.грн (без ПДВ)</t>
  </si>
  <si>
    <t>тис.грн                 (без ПДВ)</t>
  </si>
  <si>
    <t>Вартість реалізації складової частини проекту відповідно до проектної документації,             тис.грн (без ПДВ)</t>
  </si>
  <si>
    <t xml:space="preserve">Фінансування реалізації складової частини проекту, перебдачене інвестиційною програмою  на базовий період,                                тис.грн (без ПДВ)  </t>
  </si>
  <si>
    <t xml:space="preserve">Фінансування, передбачене на реалізацію складової частини проекту інвестиційною програмою на прогнозний період, тис.грн (без ПДВ) </t>
  </si>
  <si>
    <t>Сума коштів, необхідна для завершення реалізації складової частини проекту з розбивкою по роках, тис.грн. (без ПДВ)</t>
  </si>
  <si>
    <t>тис.грн            (без ПДВ)</t>
  </si>
  <si>
    <t>Ліцензування програмного забезпечення за програмою Microsoft Enterprise Agreement</t>
  </si>
  <si>
    <t>Усього 4.3.6</t>
  </si>
  <si>
    <t>2,62</t>
  </si>
  <si>
    <t>1,61</t>
  </si>
  <si>
    <t>19,36</t>
  </si>
  <si>
    <t>Комп'ютери 2009 року випуску та старші</t>
  </si>
  <si>
    <t>проект</t>
  </si>
  <si>
    <t>Магістральній канал зв'язку Мена-Сосниця</t>
  </si>
  <si>
    <t>Магістральній канал зв'язку Носівка-Бобровиця, Сосниця-Короп</t>
  </si>
  <si>
    <t>Ріпкінський РЕМ</t>
  </si>
  <si>
    <t>Корюківський РЕМ (3 ПС)</t>
  </si>
  <si>
    <t>2.150</t>
  </si>
  <si>
    <t>Корюківський РЕМ (2 ПС)</t>
  </si>
  <si>
    <t>1.1.2.3</t>
  </si>
  <si>
    <t>Усього 1.1.2.3</t>
  </si>
  <si>
    <t>1967 р.</t>
  </si>
  <si>
    <t>ПС 330 Чернігівська   ОВ-110</t>
  </si>
  <si>
    <t>ПЛ-110 Томашівка</t>
  </si>
  <si>
    <t>ПЛ-110 Прилуки</t>
  </si>
  <si>
    <t>ПЛ-110 Прогрес-1</t>
  </si>
  <si>
    <t>ПЛ-110 Прогрес-2</t>
  </si>
  <si>
    <t>ПЛ-110 Носівка</t>
  </si>
  <si>
    <t>ПЛ-110 Крути</t>
  </si>
  <si>
    <t>0,2S</t>
  </si>
  <si>
    <t>ОВ-110</t>
  </si>
  <si>
    <t>A071</t>
  </si>
  <si>
    <t>ПЛ-35 Місто А</t>
  </si>
  <si>
    <t>С071</t>
  </si>
  <si>
    <t>ПЛ-35 Місто В</t>
  </si>
  <si>
    <t>ПЛ-35 Прохори</t>
  </si>
  <si>
    <t>ПЛ-35 Безуглівка</t>
  </si>
  <si>
    <t>ПЛ-35 Вертіївка</t>
  </si>
  <si>
    <t>ПЛ-35 Кр.Партизани</t>
  </si>
  <si>
    <t>ПЛ-10 Хвилівка</t>
  </si>
  <si>
    <t>ПЛ-10 Кунашівка</t>
  </si>
  <si>
    <t>ПЛ-10 Пташник</t>
  </si>
  <si>
    <t>ПЛ-10 Березанка</t>
  </si>
  <si>
    <t>ПЛ-10 Перебудова</t>
  </si>
  <si>
    <t>ПЛ-10 Пашківка</t>
  </si>
  <si>
    <t>ПЛ-10 ТП-35</t>
  </si>
  <si>
    <t>ПЛ-10 РП-12</t>
  </si>
  <si>
    <t>ПС 330 Славутич</t>
  </si>
  <si>
    <t>ПЛ-110 ЧТЕЦ</t>
  </si>
  <si>
    <t>ПЛ-110 Город-1</t>
  </si>
  <si>
    <t>ПЛ-110 Город-2</t>
  </si>
  <si>
    <t>ПС 110 Калита</t>
  </si>
  <si>
    <t>ZMD405</t>
  </si>
  <si>
    <t>Landis+Gyr Ltd</t>
  </si>
  <si>
    <t>ПЛ-110 Козелець</t>
  </si>
  <si>
    <t>CR44</t>
  </si>
  <si>
    <t>ПС 35 Сергіївка</t>
  </si>
  <si>
    <t>ПЛ-35 Оржиця</t>
  </si>
  <si>
    <t>ПЛ-110 Полігонна</t>
  </si>
  <si>
    <t>ПЛ-110 Жукін</t>
  </si>
  <si>
    <t>ПЛ-110 Бобрик</t>
  </si>
  <si>
    <t>ПС 110 Добрянка</t>
  </si>
  <si>
    <t>ПЛ-110 Терехівка</t>
  </si>
  <si>
    <t>ПС 110 Прилуки</t>
  </si>
  <si>
    <t>ПЛ-110 Пирятин</t>
  </si>
  <si>
    <t>ПС 110 Терещенська</t>
  </si>
  <si>
    <t>EA05RAL-</t>
  </si>
  <si>
    <t xml:space="preserve">АВВ ВЭИ </t>
  </si>
  <si>
    <t>ПЛ-110 Оболоння</t>
  </si>
  <si>
    <t>P2C-4</t>
  </si>
  <si>
    <t>Метроника</t>
  </si>
  <si>
    <t>ОМВ-110</t>
  </si>
  <si>
    <t>Шостка ТЕЦ</t>
  </si>
  <si>
    <t xml:space="preserve">ПЛ-110 Н.Сіверський </t>
  </si>
  <si>
    <t>ПС 35 К.Слобода</t>
  </si>
  <si>
    <t>ПЛ-35 Хільчічі</t>
  </si>
  <si>
    <t>ПЛ-110 Конотоп</t>
  </si>
  <si>
    <t>ПС 110 Талалаївка</t>
  </si>
  <si>
    <t>ПЛ-35 Талаївка-2</t>
  </si>
  <si>
    <t>6 кВ</t>
  </si>
  <si>
    <t>В-6 Т-1</t>
  </si>
  <si>
    <t>В-6 Т-2</t>
  </si>
  <si>
    <t>ПС 35 Голінка</t>
  </si>
  <si>
    <t>ПЛ-35 В.Самбор</t>
  </si>
  <si>
    <t>ПС 35 Красне</t>
  </si>
  <si>
    <t>ПЛ-35 Попівка</t>
  </si>
  <si>
    <t>ПС 110 Мельня</t>
  </si>
  <si>
    <t xml:space="preserve">ПЛ-35 Атюша </t>
  </si>
  <si>
    <t>P2C-3</t>
  </si>
  <si>
    <t>Чернігівська  ТЕЦ</t>
  </si>
  <si>
    <t>В-110 Т-1</t>
  </si>
  <si>
    <t>В-110 Т-2</t>
  </si>
  <si>
    <t>В-110 Т-3</t>
  </si>
  <si>
    <t xml:space="preserve">ОВ - 110 </t>
  </si>
  <si>
    <t>ПЛ-35 Подусівка  А</t>
  </si>
  <si>
    <t>ПЛ-35 Подусівка  Б</t>
  </si>
  <si>
    <t>ПЛ-35 Халявин</t>
  </si>
  <si>
    <t>ПЛ-35 Кархівка</t>
  </si>
  <si>
    <t>ПЛ-35 М.Коцюбинськ</t>
  </si>
  <si>
    <t>ПЛ-35 Портова - 1</t>
  </si>
  <si>
    <t>ПЛ-35 Портова - 2</t>
  </si>
  <si>
    <t>Ф-1 10 кВ</t>
  </si>
  <si>
    <t>Ф-2 10 кВ</t>
  </si>
  <si>
    <t>Ф-3 10 кВ</t>
  </si>
  <si>
    <t>Ф-4 10 кВ</t>
  </si>
  <si>
    <t>Ф-5 10 кВ</t>
  </si>
  <si>
    <t>Ф-6 10 кВ</t>
  </si>
  <si>
    <t>Ф-9 10 кВ</t>
  </si>
  <si>
    <t>Ф-11 10 кВ</t>
  </si>
  <si>
    <t>Ф-12 10 кВ</t>
  </si>
  <si>
    <t>Ф-15 10 кВ</t>
  </si>
  <si>
    <t>Ф-16 10 кВ</t>
  </si>
  <si>
    <t>Ф-17 10 кВ</t>
  </si>
  <si>
    <t>Ф-18 10 кВ</t>
  </si>
  <si>
    <t>Ф-20 10 кВ</t>
  </si>
  <si>
    <t>Ф-21 10 кВ</t>
  </si>
  <si>
    <t>Ф-22 10 кВ</t>
  </si>
  <si>
    <t>Ф-23 10 кВ</t>
  </si>
  <si>
    <t>Ф-27 10 кВ</t>
  </si>
  <si>
    <t>Ф-32 10 кВ</t>
  </si>
  <si>
    <t>Ф-33 10 кВ</t>
  </si>
  <si>
    <t>Ф-34 10 кВ</t>
  </si>
  <si>
    <t>Ф-35 10 кВ</t>
  </si>
  <si>
    <t>Ф-36 10 кВ</t>
  </si>
  <si>
    <t>Ф-39 10 кВ</t>
  </si>
  <si>
    <t>Ф-41 10 кВ Новофіл</t>
  </si>
  <si>
    <t>Ф-41 10 кВ Чернігів-ТЕКС</t>
  </si>
  <si>
    <t>Ф-42 10 кВ</t>
  </si>
  <si>
    <t>Ф-44 10 кВ</t>
  </si>
  <si>
    <t>EMP 131.</t>
  </si>
  <si>
    <t>EMH-Elgama</t>
  </si>
  <si>
    <t>Гурт.№1</t>
  </si>
  <si>
    <t>02.1</t>
  </si>
  <si>
    <t>Гурт.№2</t>
  </si>
  <si>
    <t>Жилдом №1</t>
  </si>
  <si>
    <t>Жилдом №2</t>
  </si>
  <si>
    <t>LZQM</t>
  </si>
  <si>
    <t>ТП-60 А</t>
  </si>
  <si>
    <t>331.02-534</t>
  </si>
  <si>
    <t>ПС-110 кВ Бахмач</t>
  </si>
  <si>
    <t>ПЛ-110 кВ Плиски :</t>
  </si>
  <si>
    <t>ПЛ-110  Бахмач -2</t>
  </si>
  <si>
    <t>ПЛ-35 кВ Бахмач-2</t>
  </si>
  <si>
    <t>ПЛ-35 кВ Батурин</t>
  </si>
  <si>
    <t>ПЛ-10 Грузьке</t>
  </si>
  <si>
    <t>ПЛ-10 Тиниця</t>
  </si>
  <si>
    <t>ПЛ-10 Радгосп</t>
  </si>
  <si>
    <t>ПЛ-10 Халімонове</t>
  </si>
  <si>
    <t>ПЛ-10 Хіммаш-І</t>
  </si>
  <si>
    <t>ПЛ-10 Хіммаш-ІІ</t>
  </si>
  <si>
    <t>ПЛ-10 ТП - 405</t>
  </si>
  <si>
    <t>ПЛ-10 ТП - 403</t>
  </si>
  <si>
    <t>ПС-110 кВ Крути</t>
  </si>
  <si>
    <t>В - 110 кВ   Т - 1</t>
  </si>
  <si>
    <t>В - 110 кВ   Т - 2</t>
  </si>
  <si>
    <t xml:space="preserve"> ПЛ-10 Крути</t>
  </si>
  <si>
    <t>ПЛ-10 Бурковка</t>
  </si>
  <si>
    <t>ПЛ-10 Печі</t>
  </si>
  <si>
    <t>ПС-110 кВ Носівка</t>
  </si>
  <si>
    <t>ВЛ-110 кВ Бобровиця :</t>
  </si>
  <si>
    <t>ВЛ-110 кВ Ніжин :</t>
  </si>
  <si>
    <t>ВЛ-35 кВ Трудова</t>
  </si>
  <si>
    <t>ПЛ-10 С/г техніка</t>
  </si>
  <si>
    <t>ПЛ-10 Дослідна</t>
  </si>
  <si>
    <t>ПЛ-10 Иржавець</t>
  </si>
  <si>
    <t>ПЛ-10 Місто</t>
  </si>
  <si>
    <t>ПЛ-10 Цукр. з-д</t>
  </si>
  <si>
    <t>ПС-110 кВ Неданчичі</t>
  </si>
  <si>
    <t xml:space="preserve"> ПЛ-10 Ф-4 ГКНС</t>
  </si>
  <si>
    <t>ПС-110 кВ Чернігів-тягова</t>
  </si>
  <si>
    <t xml:space="preserve"> ПЛ-10 ТП-343</t>
  </si>
  <si>
    <t>ПС-110 Щорс</t>
  </si>
  <si>
    <t>ПЛ-10 кВ ЖД-1</t>
  </si>
  <si>
    <t>ПЛ-10 кВ ЖД-2</t>
  </si>
  <si>
    <t>ЦРП ст.Щорс</t>
  </si>
  <si>
    <t>В-10 кВ</t>
  </si>
  <si>
    <t>ПС-110 Мена-2</t>
  </si>
  <si>
    <t>ПЛ-10 кВ Вокзал</t>
  </si>
  <si>
    <t>ПС-35 Хоробичі</t>
  </si>
  <si>
    <t>ПЛ-10 кВ ЖД</t>
  </si>
  <si>
    <t>ПС-110 Куликівка</t>
  </si>
  <si>
    <t>ПС-110 Ріпки</t>
  </si>
  <si>
    <t>ПС-110 Добрянка</t>
  </si>
  <si>
    <t>ПС-330 Ніжин</t>
  </si>
  <si>
    <t>РП-6 м.Ніжин</t>
  </si>
  <si>
    <t>CTK3-10A</t>
  </si>
  <si>
    <t>ВКФ "Телекарт"</t>
  </si>
  <si>
    <t>ф.Шаумяна</t>
  </si>
  <si>
    <t>1H4PB</t>
  </si>
  <si>
    <t>ТП-286 м.Ніжин</t>
  </si>
  <si>
    <t>ф.Прилуцька</t>
  </si>
  <si>
    <t>ТП-208 м.Ніжин</t>
  </si>
  <si>
    <t>ф.Краснодонців</t>
  </si>
  <si>
    <t>ТП-202 м.Ніжин</t>
  </si>
  <si>
    <t>6. Етапи виконання заходів Інвестиційної програми ПАТ "ЧЕРНІГІВОБЛЕНЕРГО" на 2015 рік</t>
  </si>
  <si>
    <t>Реконструкція ПЛ 0,4 кВ Л-1, Л-2, Л-3 від КТП-66; Л-1, Л-2, Л-3, Л-4, Л-5 від КТП-67; Л-1 від КТП-68; Л-1, Л-2, Л-3 від КТП-69; Л-1, Л-2, Л-3 від КТП-83 в с. Семенівка, Менського району, Чернігівської області</t>
  </si>
  <si>
    <t xml:space="preserve">Формування RTU560 </t>
  </si>
  <si>
    <t>Впровадження SAP R3</t>
  </si>
  <si>
    <t>Закупівля та модернізація серверів</t>
  </si>
  <si>
    <t>Усього 4.1.2</t>
  </si>
  <si>
    <t>4.1.5</t>
  </si>
  <si>
    <t>Інші засоби інформатизації</t>
  </si>
  <si>
    <t>4.1.5.1</t>
  </si>
  <si>
    <t>Усього 4.1.5</t>
  </si>
  <si>
    <t>4.1.3</t>
  </si>
  <si>
    <t>Закупівля та модернізація активного обладнання комп'ютерних мереж</t>
  </si>
  <si>
    <t>4.1.3.1</t>
  </si>
  <si>
    <t>Маршрутизатор для РЕМ MikroTik RB750</t>
  </si>
  <si>
    <t>Усього 4.1.3</t>
  </si>
  <si>
    <t>4.1.4</t>
  </si>
  <si>
    <t>Побудова та модернізація структурованих кабельних мереж</t>
  </si>
  <si>
    <t>5.1.2</t>
  </si>
  <si>
    <t>5.1.2.1</t>
  </si>
  <si>
    <t>Усього 5.1.2</t>
  </si>
  <si>
    <t>5.1.3</t>
  </si>
  <si>
    <t>Усього 5.1.3</t>
  </si>
  <si>
    <t>Усього 5.2</t>
  </si>
  <si>
    <t>5.3</t>
  </si>
  <si>
    <t>Усього 5.3</t>
  </si>
  <si>
    <t xml:space="preserve">Усього на 2015 -2019 рр. </t>
  </si>
  <si>
    <t>7.3</t>
  </si>
  <si>
    <t>7.4</t>
  </si>
  <si>
    <t>Дальномір LASER-1200S (NIKON)</t>
  </si>
  <si>
    <t>Ультразвуковий вимірювач відстані "даль 2"</t>
  </si>
  <si>
    <t>Кількість установлених  трансформаторів, шт.</t>
  </si>
  <si>
    <t>Кількість трансформаторів, що підлягають установленню в точках обліку, які не облаштовані приладами обліку, шт.</t>
  </si>
  <si>
    <t>Кількість трансформаторів, установлення яких передбачено інвестиційною програмою на прогнозний період, шт.</t>
  </si>
  <si>
    <t>16 кв.житл.буд.</t>
  </si>
  <si>
    <t>КТП-353 м.Ніжин</t>
  </si>
  <si>
    <t>В-0,4 кВ</t>
  </si>
  <si>
    <t>КТП-92 м.Ніжин</t>
  </si>
  <si>
    <t>ТП-349 м.Н.Сіверський</t>
  </si>
  <si>
    <t>ТП-233 м.Н.Сіверський</t>
  </si>
  <si>
    <t>НіК 2102-04</t>
  </si>
  <si>
    <t>КТП-20 з.п.Угли-завод</t>
  </si>
  <si>
    <t>КТП-70 ст.Корюківка</t>
  </si>
  <si>
    <t>КТП-243 ст.Корюківка</t>
  </si>
  <si>
    <t>ПС-35 Високе</t>
  </si>
  <si>
    <t>ПЛ-10 кВ ТП-435</t>
  </si>
  <si>
    <t>КТП-100 ст.Семенівка</t>
  </si>
  <si>
    <t>CTK3-05Q</t>
  </si>
  <si>
    <t>2H4M</t>
  </si>
  <si>
    <t>КТП-72 ст.Семенівка</t>
  </si>
  <si>
    <t>ТП-570</t>
  </si>
  <si>
    <t>Elster</t>
  </si>
  <si>
    <t>ф.ТП-585</t>
  </si>
  <si>
    <t>C-4</t>
  </si>
  <si>
    <t>РП-28</t>
  </si>
  <si>
    <t>2Т3Р</t>
  </si>
  <si>
    <t>ТП-144</t>
  </si>
  <si>
    <t>ТП-88</t>
  </si>
  <si>
    <t>EA10R-</t>
  </si>
  <si>
    <t>КТП-257 м.Чернігів</t>
  </si>
  <si>
    <t>КТП-411 м.Чернігів</t>
  </si>
  <si>
    <t>ТП ст.Халявино</t>
  </si>
  <si>
    <t>пост ЕЦ</t>
  </si>
  <si>
    <t>Житл.буд. ПЗЗ</t>
  </si>
  <si>
    <t>CTK3-10Q</t>
  </si>
  <si>
    <t>1-ша черга</t>
  </si>
  <si>
    <t>2H4Mt</t>
  </si>
  <si>
    <t>2H6Mt</t>
  </si>
  <si>
    <t>2-ша черга</t>
  </si>
  <si>
    <t>НіК 2301</t>
  </si>
  <si>
    <t>АП1</t>
  </si>
  <si>
    <t>РУ-0,4</t>
  </si>
  <si>
    <t>ф.Дит.сад</t>
  </si>
  <si>
    <t>ф.Буд.зв'язку</t>
  </si>
  <si>
    <t>ТП-2</t>
  </si>
  <si>
    <t>ЛТЕ-1.03Т</t>
  </si>
  <si>
    <t>м.Бахмач</t>
  </si>
  <si>
    <t>КГУ-1</t>
  </si>
  <si>
    <t>ZMD410</t>
  </si>
  <si>
    <t>м.Славутич</t>
  </si>
  <si>
    <t>КГУ-2</t>
  </si>
  <si>
    <t>2Т4М</t>
  </si>
  <si>
    <t>КТП-449</t>
  </si>
  <si>
    <t>ст.Горностаївка</t>
  </si>
  <si>
    <t>КТП-49</t>
  </si>
  <si>
    <t>ст.Голубичі</t>
  </si>
  <si>
    <t>КТП-479</t>
  </si>
  <si>
    <t>ст.Гр.Рудня</t>
  </si>
  <si>
    <t>Седнівська ГЕС</t>
  </si>
  <si>
    <t>В-10 кВ Т-1</t>
  </si>
  <si>
    <t>ТП-83 В-0,4 кВ cт.Прилуки</t>
  </si>
  <si>
    <t>A1140RAL-BW-4T</t>
  </si>
  <si>
    <t>Ельстер Метроніка</t>
  </si>
  <si>
    <t>ТП-2 Т-1 В-0,4 кВ cт.Прилуки</t>
  </si>
  <si>
    <t>CTK3-05Q 2T4M</t>
  </si>
  <si>
    <t>ТП-2 Т-2 В-0,4 кВ cт.Прилуки</t>
  </si>
  <si>
    <t>ГКТП-114 В-0,4 кВ cт.Прилуки</t>
  </si>
  <si>
    <t>EA05RAL-P2C-4</t>
  </si>
  <si>
    <t>ТП-115 В-0,4 кВ cт.Прилуки</t>
  </si>
  <si>
    <t>ТП-147 В-0,4 кВ cт.Галка</t>
  </si>
  <si>
    <t>A1140RAL-BW-4П</t>
  </si>
  <si>
    <t>ТП-413 В-0,4 кВ cт.Линовиця</t>
  </si>
  <si>
    <t>ТП-177 В-0,4 кВ cт.Коломійцево</t>
  </si>
  <si>
    <t>ZMG310 CR44</t>
  </si>
  <si>
    <t>ТП-211 В-0,4 кВ cт.Лосинівка</t>
  </si>
  <si>
    <t>ТП-268 В-0,4 кВ cт.Більмачівка</t>
  </si>
  <si>
    <t>ТП-113 В-0,4 кВ cт.Августовка</t>
  </si>
  <si>
    <t>ТП-358 В-0,4 кВ cт.Ічня</t>
  </si>
  <si>
    <t>КТПО-50 В-0,23 кВ c.Богданівка</t>
  </si>
  <si>
    <t>0,23 кВ</t>
  </si>
  <si>
    <t>СОЭ-1.02/2Т</t>
  </si>
  <si>
    <t>КТПО-614 В-0,23 кВ c.Заїзд</t>
  </si>
  <si>
    <t>КТПО-2 В-0,23 кВ c.Тополі</t>
  </si>
  <si>
    <t>КТПО-522 В-0,23 кВ c.Линовиця</t>
  </si>
  <si>
    <t>КТПО-185 В-0,23 кВ зп.49 км с.Коломійцево</t>
  </si>
  <si>
    <t>КТПО-600 В-0,23 кВ пер.679 км с.Більмачівка</t>
  </si>
  <si>
    <t>Меркурий 200.5</t>
  </si>
  <si>
    <t>ТОВ "НВК Інкотекс"</t>
  </si>
  <si>
    <t>КТПО-567 В-0,23 кВ пер.696 км с.Рожнівка</t>
  </si>
  <si>
    <t>ТП-71 В-0,4 кВ cт.Варварівка</t>
  </si>
  <si>
    <t>РЩ-1-0,23 від КТП-119 ПОНАБ 736 км м.Прилуки</t>
  </si>
  <si>
    <t>РЩ-2-0,23 від КТП-593 зп.729 км с.Л.Сорочинці</t>
  </si>
  <si>
    <t>РЩ-3-0,23 від КТП-34 зп.738 км м.Прилуки</t>
  </si>
  <si>
    <t>РЩ-4-0,23 від КТП-141 зп.59 км с.Заізд</t>
  </si>
  <si>
    <t>РЩ-7-0,23 від КТП-56 пер.741 км м.Прилуки</t>
  </si>
  <si>
    <t xml:space="preserve">РЩ-8-0,23 від КТП-38 пер.668 км </t>
  </si>
  <si>
    <t>РЩ-9-0,23 від КТП-40 пер.673 км</t>
  </si>
  <si>
    <t>РЩ-10-0,23 від ТП-71 пер.676 км</t>
  </si>
  <si>
    <t>РЩ-11-0,23 від КТП-421 пер.32 км</t>
  </si>
  <si>
    <t>СО-ЭА05М1</t>
  </si>
  <si>
    <t>НВП "Комунар"</t>
  </si>
  <si>
    <t>РЩ-12-0,23 від КТП-421 ПЧ-19</t>
  </si>
  <si>
    <t>РЩ-13-0,23 від КТП-2 пер.7 км с.Хвилівка</t>
  </si>
  <si>
    <t>РЩ-14-0,23 від КТП-48 ст.Качанівка</t>
  </si>
  <si>
    <t>РЩ-15-0,23 від КТП-457 пер.702 км с.Гужівка</t>
  </si>
  <si>
    <t>РЩ-16-0,23 від КТП-4 ст.Талалаївка</t>
  </si>
  <si>
    <t>РЩ-3-0,23 від КТП-111 ст.Болотниця</t>
  </si>
  <si>
    <t>ПС-35 Дмитрівка ПЛ-10 кВ "Ж.Дорога"</t>
  </si>
  <si>
    <t>РЩ-17-0,23 від КТП-245 ст.Рубанка</t>
  </si>
  <si>
    <t>РЩ-2-0,4 кВ від КТП-578 В-0,4 кВ cт.Григоровка</t>
  </si>
  <si>
    <t>РЩ-18-0,23 від КТП-234 пер.27 км</t>
  </si>
  <si>
    <t>ПС 110 Северная</t>
  </si>
  <si>
    <t>ПС 110 Ічня</t>
  </si>
  <si>
    <t>ПС 110 Ольшана</t>
  </si>
  <si>
    <t>ПС 110 Томашівка</t>
  </si>
  <si>
    <t>ПС 110 Ряшки</t>
  </si>
  <si>
    <t>ПС 110 М'ясокомбинат</t>
  </si>
  <si>
    <t>ПС 110 Леляки</t>
  </si>
  <si>
    <t>6кВ</t>
  </si>
  <si>
    <t>Козелецький РЕМ (5 ПС)</t>
  </si>
  <si>
    <t>Козелецький РЕМ (6 ПС)</t>
  </si>
  <si>
    <t xml:space="preserve">Інше </t>
  </si>
  <si>
    <t>I кв. - 25,00                II кв. - 23,00</t>
  </si>
  <si>
    <t>Магістральній канал зв'язку Чернігів-Куликівка-Ніжин, цифрові канали до віддалених РЕМ</t>
  </si>
  <si>
    <t>2003-2004</t>
  </si>
  <si>
    <t>Магістральній канал зв'язку Ніжин-Ічня-Прилуки</t>
  </si>
  <si>
    <t>Магістральній канал зв'язку Чернігів-Ріпки-Городня</t>
  </si>
  <si>
    <t>Магістральній канал зв'язку Городня-Щорс-Корюківка</t>
  </si>
  <si>
    <t>Магістральній канал зв'язку Корюківка-Мена</t>
  </si>
  <si>
    <t>Магістральній канал зв'язку Мена-Борзна, Ніжин-Носівка, Носівка-Козелець</t>
  </si>
  <si>
    <t>Магістральній канал зв'язку Борзна-Бахмач</t>
  </si>
  <si>
    <t>Магістральній канал зв'язку Прилуки-Варва-Срібне-Талалаївка</t>
  </si>
  <si>
    <t>Магістральній канал зв'язку Корюківка-Семенівка-Н.Сіверський</t>
  </si>
  <si>
    <t>Магістральній канал зв'язку Бахмач-ПС35/10Дмитровка-Талалаївка</t>
  </si>
  <si>
    <t xml:space="preserve">АТС Куликівка, Ніжин, Прилуки РЕМ, ПдВЕМ, </t>
  </si>
  <si>
    <t>АТС Ічня, Ріпки, Городня, Щорс, Корюківка, Мена РЕМ</t>
  </si>
  <si>
    <t>АТС Козелець РЕМ</t>
  </si>
  <si>
    <t>АТС Борзна, Семенівка РЕМ</t>
  </si>
  <si>
    <t>АТС Носівка РЕМ</t>
  </si>
  <si>
    <t>АТС Бахмач РЕМ</t>
  </si>
  <si>
    <t>3.9</t>
  </si>
  <si>
    <t>інші доходи (реактивна ел.ен.)</t>
  </si>
  <si>
    <t>1.1.5</t>
  </si>
  <si>
    <t>інші доходи (економія ТВЕ)</t>
  </si>
  <si>
    <t>ПЛ-35кВ Замглай-Олешня</t>
  </si>
  <si>
    <t>реконструкція</t>
  </si>
  <si>
    <t>інвест.прогр.</t>
  </si>
  <si>
    <t>добудувати</t>
  </si>
  <si>
    <t>підрядний</t>
  </si>
  <si>
    <t>Т-150К</t>
  </si>
  <si>
    <t>ЮМЗ-6</t>
  </si>
  <si>
    <t>ГАЗ-52 ТВГ-15</t>
  </si>
  <si>
    <t>ГАЗ-52</t>
  </si>
  <si>
    <t>ВАЗ-2121</t>
  </si>
  <si>
    <t>фургон</t>
  </si>
  <si>
    <t>Козелець РЕМ</t>
  </si>
  <si>
    <t>вантажний</t>
  </si>
  <si>
    <t>Чернігів РЕМ</t>
  </si>
  <si>
    <t>Південні ВЕМ</t>
  </si>
  <si>
    <t>автопідіймач</t>
  </si>
  <si>
    <t>Прилуки РЕМ</t>
  </si>
  <si>
    <t>УАЗ 3909</t>
  </si>
  <si>
    <t>Бобровиця РЕМ</t>
  </si>
  <si>
    <t>ГАЗ 52</t>
  </si>
  <si>
    <t>ПТС-4</t>
  </si>
  <si>
    <t>прицеп</t>
  </si>
  <si>
    <t>Т-150 К</t>
  </si>
  <si>
    <t>трактор</t>
  </si>
  <si>
    <t>ГАЗ-3307</t>
  </si>
  <si>
    <t>бензовоз</t>
  </si>
  <si>
    <t>УАЗ-469</t>
  </si>
  <si>
    <t>легковий</t>
  </si>
  <si>
    <t>Мікроавтобус</t>
  </si>
  <si>
    <t>УАЗ-3909</t>
  </si>
  <si>
    <t>Бахмач РЕМ</t>
  </si>
  <si>
    <t>ГКБ-817</t>
  </si>
  <si>
    <t>АСЧ-03</t>
  </si>
  <si>
    <t>автобус</t>
  </si>
  <si>
    <t>Варва РЕМ</t>
  </si>
  <si>
    <t>Легковий</t>
  </si>
  <si>
    <t>Легкові автомашини</t>
  </si>
  <si>
    <t>Спеціальні легкові автомашини</t>
  </si>
  <si>
    <t xml:space="preserve">4.6.1. Аналіз колісної техніки станом на початок прогнозного періоду </t>
  </si>
  <si>
    <t>Марка колісної техніки</t>
  </si>
  <si>
    <t>Нормативний строк експлуатації, років</t>
  </si>
  <si>
    <t>Витрати на технічне обслуговування та ремонт, тис.грн</t>
  </si>
  <si>
    <t>марка</t>
  </si>
  <si>
    <t>призначення (тип)</t>
  </si>
  <si>
    <t>орієнтовна вартість, тис.грн</t>
  </si>
  <si>
    <t>витрати пального*, л/100 км</t>
  </si>
  <si>
    <t>витрати на технічне обслуговування та ремонт, тис.грн</t>
  </si>
  <si>
    <t>САЗ-3507</t>
  </si>
  <si>
    <t>самоскид</t>
  </si>
  <si>
    <t>ГАЗ-53</t>
  </si>
  <si>
    <t>ГАЗ-66</t>
  </si>
  <si>
    <t>ЕТЛ-10</t>
  </si>
  <si>
    <t>ЗІЛ-431410</t>
  </si>
  <si>
    <t>АП-17</t>
  </si>
  <si>
    <t>35,2/5,2</t>
  </si>
  <si>
    <t>ТВГ-15Н</t>
  </si>
  <si>
    <t>26,0/3,0</t>
  </si>
  <si>
    <t>ГАЗ-33021</t>
  </si>
  <si>
    <t>вант.посаж.</t>
  </si>
  <si>
    <t>УАЗ-39094</t>
  </si>
  <si>
    <t>ВАЗ-21213</t>
  </si>
  <si>
    <t>ВАЗ-2107</t>
  </si>
  <si>
    <t>МБП-42</t>
  </si>
  <si>
    <t>МТЗ-80</t>
  </si>
  <si>
    <t>ОПТ-9195</t>
  </si>
  <si>
    <t>Т-40</t>
  </si>
  <si>
    <t>ПСЕ-20</t>
  </si>
  <si>
    <t>причіп</t>
  </si>
  <si>
    <t>2ПТС4</t>
  </si>
  <si>
    <t>ГАЗ 33021 012-15 МН</t>
  </si>
  <si>
    <t>ванажопасажирська</t>
  </si>
  <si>
    <t>Варва РЕМ, збут</t>
  </si>
  <si>
    <t>УАЗ 3151 15-51 РМА</t>
  </si>
  <si>
    <t>ЗИЛ 131 АП-17А 012-46 МН</t>
  </si>
  <si>
    <t>автопідйомник</t>
  </si>
  <si>
    <t>Варва РЕМ, МД</t>
  </si>
  <si>
    <t>ВАЗ 21099 37-15 РМА</t>
  </si>
  <si>
    <t>Варва РЕМ, адміністрація</t>
  </si>
  <si>
    <t>ГАЗ 52 36-13 ЧНП</t>
  </si>
  <si>
    <t>ГАЗ 66 04-73 РМЕ</t>
  </si>
  <si>
    <t>Варва РЕМ, ТПіРП</t>
  </si>
  <si>
    <t>ГАЗ 3307 77-10 ЧНП</t>
  </si>
  <si>
    <t>ОДС</t>
  </si>
  <si>
    <t>УАЗ 3909 018-46 МН</t>
  </si>
  <si>
    <t>ГАЗ-САЗ 3507 86-47 ЧНН</t>
  </si>
  <si>
    <t>Т150К 051-66 ЯО</t>
  </si>
  <si>
    <t>БКУ</t>
  </si>
  <si>
    <t>МТЗ 80 083-56 ЯО</t>
  </si>
  <si>
    <t>2ПТС-4 69-98 ФЭ</t>
  </si>
  <si>
    <t>причіп тракторний</t>
  </si>
  <si>
    <t>2ПТС-4 049-45 ЯР</t>
  </si>
  <si>
    <t>причіп-розпуск</t>
  </si>
  <si>
    <t>УАЗ-31514</t>
  </si>
  <si>
    <t>ВАЗ-21093</t>
  </si>
  <si>
    <t>ВАЗ-21154</t>
  </si>
  <si>
    <t>УАЗ-22061</t>
  </si>
  <si>
    <t>спецфургон</t>
  </si>
  <si>
    <t>ТВГ-15</t>
  </si>
  <si>
    <t>ГАЗ-3309</t>
  </si>
  <si>
    <t>АП-18-09</t>
  </si>
  <si>
    <t>бортовий</t>
  </si>
  <si>
    <t>ЗИЛ-138Д</t>
  </si>
  <si>
    <t>ГАЗ-2705</t>
  </si>
  <si>
    <t>фургон вантажний</t>
  </si>
  <si>
    <t>ЗИЛ-130</t>
  </si>
  <si>
    <t>автокран</t>
  </si>
  <si>
    <t>ГАЗ-330232</t>
  </si>
  <si>
    <t>вантажо-пасажир.</t>
  </si>
  <si>
    <t>15 м/год</t>
  </si>
  <si>
    <t>МТЗ-82</t>
  </si>
  <si>
    <t>транспортн.</t>
  </si>
  <si>
    <t>8,7 м/год</t>
  </si>
  <si>
    <t>ПКУ-08</t>
  </si>
  <si>
    <t>6,2 м/год</t>
  </si>
  <si>
    <t>Т-40АМ</t>
  </si>
  <si>
    <t>4,9 м/год</t>
  </si>
  <si>
    <t>2ПТС-4</t>
  </si>
  <si>
    <t>1Р-3М</t>
  </si>
  <si>
    <t>КІА-Sephia</t>
  </si>
  <si>
    <t>ГАЗ-3110</t>
  </si>
  <si>
    <t>УАЗ-315146</t>
  </si>
  <si>
    <t>ГАЗ-32021-212</t>
  </si>
  <si>
    <t>ГАЗ-32213</t>
  </si>
  <si>
    <t>ГАЗ-4301</t>
  </si>
  <si>
    <t>ІЗП</t>
  </si>
  <si>
    <t>ЗІЛ-157</t>
  </si>
  <si>
    <t>ПЛ, РБД</t>
  </si>
  <si>
    <t>ЗІЛ-ММЗ</t>
  </si>
  <si>
    <t xml:space="preserve">Всі служби </t>
  </si>
  <si>
    <t>ЗІЛ-431412</t>
  </si>
  <si>
    <t>ПС,РЗА</t>
  </si>
  <si>
    <t>ЗІЛ-131</t>
  </si>
  <si>
    <t>ПЛ</t>
  </si>
  <si>
    <t>Ніжинська дільниця ПЛ</t>
  </si>
  <si>
    <t>ЗІЛ-441510</t>
  </si>
  <si>
    <t>ЗІЛ-130</t>
  </si>
  <si>
    <t>КАМАЗ-53213</t>
  </si>
  <si>
    <t>КАМАЗ-5320</t>
  </si>
  <si>
    <t>ПЛ, ЗДТУ,РБД</t>
  </si>
  <si>
    <t>Всі служби</t>
  </si>
  <si>
    <t>УРАЛ-43202</t>
  </si>
  <si>
    <t>ПЛ, ВГО</t>
  </si>
  <si>
    <t>СміТ,РБД,ПС</t>
  </si>
  <si>
    <t>5л/м/год</t>
  </si>
  <si>
    <t xml:space="preserve">“Балканкар” </t>
  </si>
  <si>
    <t>СміТ,ПС,РБД</t>
  </si>
  <si>
    <t>М.Дівиця  РММ</t>
  </si>
  <si>
    <t>4,8л/м/год</t>
  </si>
  <si>
    <t>6л/м/год</t>
  </si>
  <si>
    <t>ГАЗ-33023</t>
  </si>
  <si>
    <t>Ніжинська дільн., ПС</t>
  </si>
  <si>
    <t>Ніжинська дільн., ІЗП</t>
  </si>
  <si>
    <t>Ніжинська дільн. , ПС</t>
  </si>
  <si>
    <t xml:space="preserve">Ніжинська дільн., ПЛ </t>
  </si>
  <si>
    <t>ЮМЗ-6Л</t>
  </si>
  <si>
    <t xml:space="preserve">Ніжинська дільн. </t>
  </si>
  <si>
    <t>Бахмацька дільн.</t>
  </si>
  <si>
    <t>ПЛ, СміТ, ВМТЗ</t>
  </si>
  <si>
    <t>ГАЗ-3308</t>
  </si>
  <si>
    <t>ПС, РЗА</t>
  </si>
  <si>
    <t xml:space="preserve">ГКБ 817   </t>
  </si>
  <si>
    <t>СМіТ</t>
  </si>
  <si>
    <t xml:space="preserve">2 ПТС-4   </t>
  </si>
  <si>
    <t>М.Дівиця РММ</t>
  </si>
  <si>
    <t xml:space="preserve">ТЦ-10А   </t>
  </si>
  <si>
    <t xml:space="preserve">ОДАЗ-9357    </t>
  </si>
  <si>
    <t>ВАЗ-21083</t>
  </si>
  <si>
    <t>грузопасаж.</t>
  </si>
  <si>
    <t>микроавтоб.</t>
  </si>
  <si>
    <t>ГАЗ-53А</t>
  </si>
  <si>
    <t>31/4,8</t>
  </si>
  <si>
    <t>грузовий</t>
  </si>
  <si>
    <t>ямобур</t>
  </si>
  <si>
    <t>32/8</t>
  </si>
  <si>
    <t>АП-18-10</t>
  </si>
  <si>
    <t>24/7,2</t>
  </si>
  <si>
    <t>Зил-130</t>
  </si>
  <si>
    <t>41/6</t>
  </si>
  <si>
    <t>бурильно-підємна</t>
  </si>
  <si>
    <t>ОЗТП-9554</t>
  </si>
  <si>
    <t>ГАЗ-3307 №68-56 ЧНП</t>
  </si>
  <si>
    <t>грузовой фургон</t>
  </si>
  <si>
    <t>ГАЗ-3307 №56-82 ЧНП</t>
  </si>
  <si>
    <t>ГАЗ-66 №011-21 МН</t>
  </si>
  <si>
    <t>ГАЗ-3302 №015-77 МН</t>
  </si>
  <si>
    <t>грузопассажирский</t>
  </si>
  <si>
    <t>ГАЗ-66 №024-94 МН</t>
  </si>
  <si>
    <t>ГАЗ-66 №70-33 ЧНП</t>
  </si>
  <si>
    <t>ГАЗ-330273-388</t>
  </si>
  <si>
    <t>ГАЗ-66 №57-28 ЧНО</t>
  </si>
  <si>
    <t>20,0 ДТ</t>
  </si>
  <si>
    <t>ГАЗ-5312 №040-55 МН</t>
  </si>
  <si>
    <t>ГАЗ-3307 №97-67 ЧНП</t>
  </si>
  <si>
    <t>27,5 газ</t>
  </si>
  <si>
    <t>ГАЗ-52 №39-68 ЧНН</t>
  </si>
  <si>
    <t>ГАЗ-33023 №СВ 87-82 АМ</t>
  </si>
  <si>
    <t>16,6 газ</t>
  </si>
  <si>
    <t>ЛЭК-452-77 №020-57 МН</t>
  </si>
  <si>
    <t>ЗиЛ-131 №46-27 ЧНО</t>
  </si>
  <si>
    <t>48; 5,5 мч</t>
  </si>
  <si>
    <t>ЗиЛ-131 №14-71 ЧНП</t>
  </si>
  <si>
    <t>48; 5,5мч</t>
  </si>
  <si>
    <t>ЗиЛ-131 №93-59 ЧНМ</t>
  </si>
  <si>
    <t>48; 6,9мч</t>
  </si>
  <si>
    <t>ЗиЛ-131 №013-16 МН</t>
  </si>
  <si>
    <t>ЗиЛ-131 №46-26 ЧНО</t>
  </si>
  <si>
    <t>грузовой бортовой</t>
  </si>
  <si>
    <t>41,0 газ</t>
  </si>
  <si>
    <t>ЗиЛ-131 №40-74 ЧНО</t>
  </si>
  <si>
    <t>43,0 газ</t>
  </si>
  <si>
    <t>ЗиЛ-131 №93-18 ЧНМ</t>
  </si>
  <si>
    <t>буровая установка МРК-750</t>
  </si>
  <si>
    <t>43,5; 15мч</t>
  </si>
  <si>
    <t>ГАЗ-66 №82-52 ЧНП</t>
  </si>
  <si>
    <t>ГАЗ-66 №07-02 ЧНН</t>
  </si>
  <si>
    <t>ГАЗ-66 №СВ 15-16 АО</t>
  </si>
  <si>
    <t>на списание</t>
  </si>
  <si>
    <t>УАЗ-39094 №СВ 71-69 АК</t>
  </si>
  <si>
    <t xml:space="preserve"> грузопассажирский</t>
  </si>
  <si>
    <t>17,0/20,4 газ пропан</t>
  </si>
  <si>
    <t>ГАЗ-3307 №СВ 07-60 АА</t>
  </si>
  <si>
    <t>ЭТЛ-Р-07 лаборатория</t>
  </si>
  <si>
    <t xml:space="preserve">ГАЗ-66 №005-71 МН </t>
  </si>
  <si>
    <t>ЭТЛ-10 лаборатория</t>
  </si>
  <si>
    <t>ГАЗ-66 №68-89 ЧНМ</t>
  </si>
  <si>
    <t>СВЭС, сл. РЗА, ПС, ВВЛ</t>
  </si>
  <si>
    <t>ГАЗ-66 №23-61 ЧНН</t>
  </si>
  <si>
    <t>буровая машина БМ-302</t>
  </si>
  <si>
    <t>33; 8,2</t>
  </si>
  <si>
    <t>ЛЭК-452-77 №61-92 ЧНО</t>
  </si>
  <si>
    <t xml:space="preserve">на списание </t>
  </si>
  <si>
    <t>ГАЗ-2705 №СВ 87-65 АВ</t>
  </si>
  <si>
    <t>18,1/21,72 газ пропан</t>
  </si>
  <si>
    <t>УАЗ-315146 №46-08 РМА</t>
  </si>
  <si>
    <t>легковой</t>
  </si>
  <si>
    <t>КрАЗ-260 №СВ 68-97 АО</t>
  </si>
  <si>
    <t>седельный тягач</t>
  </si>
  <si>
    <t>55,0 ДТ</t>
  </si>
  <si>
    <t xml:space="preserve">КамАЗ-54112 №067-93 МН </t>
  </si>
  <si>
    <t>34,8 ДТ</t>
  </si>
  <si>
    <t>КамАЗ-5320 №24-26 ЧНП</t>
  </si>
  <si>
    <t>25,0 ДТ</t>
  </si>
  <si>
    <t>ЗиЛ-ММЗ-45021 №35-70 ЧНЛ</t>
  </si>
  <si>
    <t>самосвал</t>
  </si>
  <si>
    <t>37,0 газ</t>
  </si>
  <si>
    <t>ГАЗ-3307 №022-90 МН</t>
  </si>
  <si>
    <t>31; 5,4 мч</t>
  </si>
  <si>
    <t>МАЗ-5334 №36-40 ЧНЛ</t>
  </si>
  <si>
    <t>кран СМК-10</t>
  </si>
  <si>
    <t>34,7 ДТ; 6,5 мч</t>
  </si>
  <si>
    <t>КрАЗ-250 №94-30 ЧНП</t>
  </si>
  <si>
    <t>кран КС-3575А1</t>
  </si>
  <si>
    <t>50,0 ДТ; 7,8 мч</t>
  </si>
  <si>
    <t>ХТА-200 №087-24 СВ</t>
  </si>
  <si>
    <t>МТЗ-80 №91-90 ФЮ</t>
  </si>
  <si>
    <t>экскаватор ЭО-2625</t>
  </si>
  <si>
    <t>7,6 ДТ</t>
  </si>
  <si>
    <t>ВАЗ-21061 №81-15 ЧНА</t>
  </si>
  <si>
    <t>ВАЗ-21213 №СВ 08-16 ВВ</t>
  </si>
  <si>
    <t>13,0/15,6 газ пропан</t>
  </si>
  <si>
    <t>ГАЗ-3110 №СВ 08-12 ВВ</t>
  </si>
  <si>
    <t>ГАЗ-2410 №СВ 84-39 АЕ</t>
  </si>
  <si>
    <t xml:space="preserve"> КамАЗ-43114 №СВ 83-60 АР</t>
  </si>
  <si>
    <t>автоподъёмник ВС-26</t>
  </si>
  <si>
    <t>45,0 ДТ; 7,5 мч</t>
  </si>
  <si>
    <t>ДТ-75</t>
  </si>
  <si>
    <t>бульдозер</t>
  </si>
  <si>
    <t>7,3 ДТ</t>
  </si>
  <si>
    <t xml:space="preserve"> „Балканкар” ДВ 1792.33 №Т 15-14 ЧН</t>
  </si>
  <si>
    <t>автопогузчик</t>
  </si>
  <si>
    <t>5,0 ДТ</t>
  </si>
  <si>
    <t>МАЗ-938660044 №СВ 14-64 ХТ</t>
  </si>
  <si>
    <t>полуприцеп</t>
  </si>
  <si>
    <t>-</t>
  </si>
  <si>
    <t>9970 №05-07 ХВ</t>
  </si>
  <si>
    <t>1-Р-5 №053-84 МН</t>
  </si>
  <si>
    <t>прицеп-роспуск</t>
  </si>
  <si>
    <t>ГАЗ-66 №66-96 ЧНП</t>
  </si>
  <si>
    <t>ГАЗ-5312 №СВ 08-13 АО</t>
  </si>
  <si>
    <t>МТЗ-80 №097-78 СВ</t>
  </si>
  <si>
    <t>ГАЗ-5204 №СВ 63-65 АС</t>
  </si>
  <si>
    <t>топливоцистерна</t>
  </si>
  <si>
    <t>ЗиЛ-131 №72-27 ЧНП</t>
  </si>
  <si>
    <t>ГАЗ-33081 №СВ 56-81 ВА</t>
  </si>
  <si>
    <t>23,0 ДТ</t>
  </si>
  <si>
    <t>ГАЗ-33081 №СВ 56-82 ВА</t>
  </si>
  <si>
    <t>ВАЗ-21074</t>
  </si>
  <si>
    <t xml:space="preserve">Короп РЕМ  директор </t>
  </si>
  <si>
    <t>УАЗ-31512</t>
  </si>
  <si>
    <t>Короп РЕМ  енергозбут</t>
  </si>
  <si>
    <t>Короп РЕМ  гол.інженер</t>
  </si>
  <si>
    <t>УАЗ-3303</t>
  </si>
  <si>
    <t>вантажний платформа</t>
  </si>
  <si>
    <t>Короп РЕМ  ОВБ</t>
  </si>
  <si>
    <t>бортовий малотонажний</t>
  </si>
  <si>
    <t>Короп РЕМ Дільниця механізації та транспорту</t>
  </si>
  <si>
    <t>12,9д</t>
  </si>
  <si>
    <t>вантажний вантажопас.</t>
  </si>
  <si>
    <t>Короп РЕМ Понорницька МД</t>
  </si>
  <si>
    <t>Короп РЕМ Нехаївська МД</t>
  </si>
  <si>
    <t>Короп РЕМ енергозбут</t>
  </si>
  <si>
    <t>вантажний спец.фургон</t>
  </si>
  <si>
    <t>Короп РЕМ Дільниця ТП і РП</t>
  </si>
  <si>
    <t>Короп РЕМ  Дільниця механізації та транспорту</t>
  </si>
  <si>
    <t>Короп РЕМ Коропська МД</t>
  </si>
  <si>
    <t>ЗіЛ-130</t>
  </si>
  <si>
    <t>22,00д</t>
  </si>
  <si>
    <t>Т-150</t>
  </si>
  <si>
    <t>15 л/мт/ч</t>
  </si>
  <si>
    <t>Т-150(БКМ)</t>
  </si>
  <si>
    <t>10 л/мт/ч</t>
  </si>
  <si>
    <t>3,6 л/мт/ч</t>
  </si>
  <si>
    <t>6,3 л/мт/ч</t>
  </si>
  <si>
    <t>ПСЕ-Ф-12.5А</t>
  </si>
  <si>
    <t>причеп тракторний</t>
  </si>
  <si>
    <t>2ПТС-4-887Б</t>
  </si>
  <si>
    <t>ОЗТП-8572</t>
  </si>
  <si>
    <t>ММЗ-771Б</t>
  </si>
  <si>
    <t>ВАЗ 2121</t>
  </si>
  <si>
    <t>легкова</t>
  </si>
  <si>
    <t>Талалаївський РЕМ</t>
  </si>
  <si>
    <t>ВАЗ 21061</t>
  </si>
  <si>
    <t>ГАЗ 3102</t>
  </si>
  <si>
    <t>вантажна</t>
  </si>
  <si>
    <t>ГАЗ 33021</t>
  </si>
  <si>
    <t>УАЗ 2206</t>
  </si>
  <si>
    <t>ГАЗ 3309 АП 18</t>
  </si>
  <si>
    <t>спец АП</t>
  </si>
  <si>
    <t>22/4,5</t>
  </si>
  <si>
    <t>ГАЗ 3307 АП 17</t>
  </si>
  <si>
    <t>32/5,2</t>
  </si>
  <si>
    <t>ГАЗ 3309</t>
  </si>
  <si>
    <t>Т-150 БКУ</t>
  </si>
  <si>
    <t>15/год</t>
  </si>
  <si>
    <t>МТЗ-920</t>
  </si>
  <si>
    <t>ГП</t>
  </si>
  <si>
    <t>4,8/год</t>
  </si>
  <si>
    <t>2 ПТС 4</t>
  </si>
  <si>
    <t>причіп розпуск</t>
  </si>
  <si>
    <t xml:space="preserve">Ніжин РЕМ </t>
  </si>
  <si>
    <t>Автопідйомник</t>
  </si>
  <si>
    <t>М-412</t>
  </si>
  <si>
    <t>Ван-борт</t>
  </si>
  <si>
    <t>Ван-фургон-с</t>
  </si>
  <si>
    <t>Вант-автомайс</t>
  </si>
  <si>
    <t>Вант-фургон</t>
  </si>
  <si>
    <t>Елек-лаболат</t>
  </si>
  <si>
    <t>Вант-спец-с</t>
  </si>
  <si>
    <t>Спеціальна</t>
  </si>
  <si>
    <t>Вант-пасаж.ва</t>
  </si>
  <si>
    <t>Вант-автокран</t>
  </si>
  <si>
    <t>Вант-фургон-с</t>
  </si>
  <si>
    <t>ЧПК-3904</t>
  </si>
  <si>
    <t>Вант.спец,-с</t>
  </si>
  <si>
    <t>Вант-спец-мал</t>
  </si>
  <si>
    <t>УАЗ-452,ЛЕК-77</t>
  </si>
  <si>
    <t>Вант-пасажир</t>
  </si>
  <si>
    <t>Вант-пасаж</t>
  </si>
  <si>
    <t>АС-G2705-ВП-6</t>
  </si>
  <si>
    <t>Фургон-вантаж</t>
  </si>
  <si>
    <t>Трактор</t>
  </si>
  <si>
    <t>ЕО-2621</t>
  </si>
  <si>
    <t>Екскаватор</t>
  </si>
  <si>
    <t>РОУ-6</t>
  </si>
  <si>
    <t>ІР-3</t>
  </si>
  <si>
    <t>Легковой</t>
  </si>
  <si>
    <t>ИЖ-2715</t>
  </si>
  <si>
    <t>вантажн.</t>
  </si>
  <si>
    <t>УАЗ-31519</t>
  </si>
  <si>
    <t>ГАЗ-3302</t>
  </si>
  <si>
    <t>ван/пас</t>
  </si>
  <si>
    <t>Микроавт</t>
  </si>
  <si>
    <t>ГАЗ-3221</t>
  </si>
  <si>
    <t>АП-18</t>
  </si>
  <si>
    <t>HUNDAI ELANTRA</t>
  </si>
  <si>
    <t>САЗ-3508</t>
  </si>
  <si>
    <t>самос</t>
  </si>
  <si>
    <t>ЗИЛ-431412</t>
  </si>
  <si>
    <t>УРАЛ-4320</t>
  </si>
  <si>
    <t>сд/тягач</t>
  </si>
  <si>
    <t>УАЗ-ЛЕК-452</t>
  </si>
  <si>
    <t>АР-18</t>
  </si>
  <si>
    <t>МАЗ-9397</t>
  </si>
  <si>
    <t>п/причіп</t>
  </si>
  <si>
    <t>лег</t>
  </si>
  <si>
    <t>ЧБТУ</t>
  </si>
  <si>
    <t>ван. борт</t>
  </si>
  <si>
    <t>ЗІЛ-4502</t>
  </si>
  <si>
    <t>вант-пас</t>
  </si>
  <si>
    <t>ван.борт</t>
  </si>
  <si>
    <t>ЗІЛ-133ГЯ</t>
  </si>
  <si>
    <t>ГАЗ-5312</t>
  </si>
  <si>
    <t>КАМАЗ-55111</t>
  </si>
  <si>
    <t>44/9</t>
  </si>
  <si>
    <t>легков-В</t>
  </si>
  <si>
    <t xml:space="preserve">лег </t>
  </si>
  <si>
    <t>ван.пасаж</t>
  </si>
  <si>
    <t>вант.борт</t>
  </si>
  <si>
    <t>ван. фургон</t>
  </si>
  <si>
    <t>ГАЗ-32213-414</t>
  </si>
  <si>
    <t>лаб.ЕТЛ-110</t>
  </si>
  <si>
    <t>ГКБ-819</t>
  </si>
  <si>
    <t>ВАЗ 2107 002-65 МК</t>
  </si>
  <si>
    <t>легк.</t>
  </si>
  <si>
    <t>Корюківський РЕМ</t>
  </si>
  <si>
    <t>УАЗ 3909 01006 МН</t>
  </si>
  <si>
    <t>г/пасс</t>
  </si>
  <si>
    <t>ГАЗ 52 01067 МН</t>
  </si>
  <si>
    <t>ГАЗе 33021 01314 МН</t>
  </si>
  <si>
    <t>УАЗ 3909 01986 МН</t>
  </si>
  <si>
    <t>ГАЗ 66 2999 РМЕ</t>
  </si>
  <si>
    <t>БКГМ</t>
  </si>
  <si>
    <t>УАЗ 3151 4609 РМА</t>
  </si>
  <si>
    <t>лег.спец.</t>
  </si>
  <si>
    <t xml:space="preserve">ГАЗ 53 5697 ЧНП </t>
  </si>
  <si>
    <t>гр.борт.</t>
  </si>
  <si>
    <t>ЗИЛ 130 5731 ЧНП</t>
  </si>
  <si>
    <t>КС-2561</t>
  </si>
  <si>
    <t>ГАЗ 66 7006 ЧНП</t>
  </si>
  <si>
    <t>спец.</t>
  </si>
  <si>
    <t>ГАЗ 66 7014 ЧНП</t>
  </si>
  <si>
    <t>ГАЗ 3307 8197 ЧНП</t>
  </si>
  <si>
    <t>УАЗ 3909 СВ0968 АС</t>
  </si>
  <si>
    <t>ВАЗ 21154 СВ5165АІ</t>
  </si>
  <si>
    <t>Т 150 К 0981 ХВ</t>
  </si>
  <si>
    <t>ГАЗ 4301 1264 РМЕ</t>
  </si>
  <si>
    <t>Т 150 13268 ЯО</t>
  </si>
  <si>
    <t>тракт Б</t>
  </si>
  <si>
    <t>ГАЗ 3309 1659 РМЕ</t>
  </si>
  <si>
    <t>МТЗ 82 5372 ФЮ</t>
  </si>
  <si>
    <t>ГАЗ 3309 СВ2947 АІ</t>
  </si>
  <si>
    <t>ГАЗ 330273 СВ6154 ВА</t>
  </si>
  <si>
    <t>груз.бор</t>
  </si>
  <si>
    <t>ДВ 1792.33 Т00357СВ</t>
  </si>
  <si>
    <t>д/погр.</t>
  </si>
  <si>
    <t>ГАХ 3307 1692 РМЕ</t>
  </si>
  <si>
    <t>бензов.</t>
  </si>
  <si>
    <t>М2141 7405 ЧНП</t>
  </si>
  <si>
    <t>легк.спец.</t>
  </si>
  <si>
    <t xml:space="preserve">ЭО 2621 4935 ФЮ </t>
  </si>
  <si>
    <t>эксковатор</t>
  </si>
  <si>
    <t>2ППС4</t>
  </si>
  <si>
    <t>ОДАЗ</t>
  </si>
  <si>
    <t>напівпричеп</t>
  </si>
  <si>
    <t>1Р-3</t>
  </si>
  <si>
    <t xml:space="preserve">ГАЗ-5312 </t>
  </si>
  <si>
    <t>вантажний-С Автопідйомник ТВГ-15Н</t>
  </si>
  <si>
    <t>Мена РЕМ</t>
  </si>
  <si>
    <t>0,29/4,9</t>
  </si>
  <si>
    <t xml:space="preserve">САЗ-3507 </t>
  </si>
  <si>
    <t>0,29/4,10</t>
  </si>
  <si>
    <t xml:space="preserve">ГАЗ-3307 </t>
  </si>
  <si>
    <t>вантажний Автопідйомник АП-17А04</t>
  </si>
  <si>
    <t>0,32/5,2</t>
  </si>
  <si>
    <t xml:space="preserve">ГАЗ-3307-12 </t>
  </si>
  <si>
    <t>вантажний Автопідйомник АП-1803</t>
  </si>
  <si>
    <t>0,32/5,3</t>
  </si>
  <si>
    <t xml:space="preserve">ГАЗ-3307  </t>
  </si>
  <si>
    <t>вантажний бортовий</t>
  </si>
  <si>
    <t xml:space="preserve"> вантажний самоскид</t>
  </si>
  <si>
    <t>вантажний БМ-302</t>
  </si>
  <si>
    <t>0,31/8</t>
  </si>
  <si>
    <t>ГАЗ-5201</t>
  </si>
  <si>
    <t>вантажний  фургон</t>
  </si>
  <si>
    <t>ГАЗ-5201 МПР-39011</t>
  </si>
  <si>
    <t xml:space="preserve">автомайстерня-С  </t>
  </si>
  <si>
    <t>автокран КС-2561 Д</t>
  </si>
  <si>
    <t>0,40/6</t>
  </si>
  <si>
    <t>Вантажний автопідйомник АР-18.04</t>
  </si>
  <si>
    <t>0,224/5</t>
  </si>
  <si>
    <t>Грузовий</t>
  </si>
  <si>
    <t>вантажопасажирський5 місць</t>
  </si>
  <si>
    <t>УАЗ-45277 ЛЕК</t>
  </si>
  <si>
    <t>пасажирьський-В</t>
  </si>
  <si>
    <t>вантажопасажирський-C</t>
  </si>
  <si>
    <t>УАЗ-469 Б</t>
  </si>
  <si>
    <t>ВАЗ-21214</t>
  </si>
  <si>
    <t>Трактор Т-150</t>
  </si>
  <si>
    <t>МБП-420</t>
  </si>
  <si>
    <t>Трактор Т-40</t>
  </si>
  <si>
    <t>Дизельний навантажувач</t>
  </si>
  <si>
    <t>Технологічний ДВ 1792,33,20</t>
  </si>
  <si>
    <t xml:space="preserve">Причіп </t>
  </si>
  <si>
    <t>ПСЕ-12,5</t>
  </si>
  <si>
    <t>Автокран</t>
  </si>
  <si>
    <t>43,6/6</t>
  </si>
  <si>
    <t>Автопідйомник-С</t>
  </si>
  <si>
    <t>21,8/3</t>
  </si>
  <si>
    <t>Буровий-С</t>
  </si>
  <si>
    <t>33,8/8</t>
  </si>
  <si>
    <t>ГАЗ-53-12</t>
  </si>
  <si>
    <t>Вантаж. бортовий</t>
  </si>
  <si>
    <t>Вант.фургон</t>
  </si>
  <si>
    <t>Фургон малотонаж.</t>
  </si>
  <si>
    <t>ІЖ-2715</t>
  </si>
  <si>
    <t>Вантажний,Пікап-В</t>
  </si>
  <si>
    <t>Вантажний малото</t>
  </si>
  <si>
    <t>Вантажний</t>
  </si>
  <si>
    <t>Спец вантажний-С</t>
  </si>
  <si>
    <t>ГАЗ-51М</t>
  </si>
  <si>
    <t>Трактор колісний</t>
  </si>
  <si>
    <t>причіп -розпуск</t>
  </si>
  <si>
    <t>HyngaiAccent</t>
  </si>
  <si>
    <t xml:space="preserve">легковий </t>
  </si>
  <si>
    <t>Срібне РЕМ</t>
  </si>
  <si>
    <t>АП18-09</t>
  </si>
  <si>
    <t>груз.пасаж.</t>
  </si>
  <si>
    <t>мікроавтобус</t>
  </si>
  <si>
    <t>БМП-420</t>
  </si>
  <si>
    <t>ЛТЗ-60</t>
  </si>
  <si>
    <t>транспортний</t>
  </si>
  <si>
    <t>БКУ-2</t>
  </si>
  <si>
    <t>прцеп</t>
  </si>
  <si>
    <t>розпуск</t>
  </si>
  <si>
    <t>ВАЗ21103</t>
  </si>
  <si>
    <t>Легк</t>
  </si>
  <si>
    <t>ВАЗ21074</t>
  </si>
  <si>
    <t>УАЗ31514</t>
  </si>
  <si>
    <t>УАЗ3909</t>
  </si>
  <si>
    <t>вантаж-пас</t>
  </si>
  <si>
    <t>УАЗ452</t>
  </si>
  <si>
    <t>ГАЗ52</t>
  </si>
  <si>
    <t>ВС-18</t>
  </si>
  <si>
    <t>ГАЗ3307</t>
  </si>
  <si>
    <t>АПТ-17</t>
  </si>
  <si>
    <t>ГАЗ3309</t>
  </si>
  <si>
    <t>ГАЗ32213</t>
  </si>
  <si>
    <t>ГАЗ330232</t>
  </si>
  <si>
    <t>ЗИЛ130</t>
  </si>
  <si>
    <t>кран</t>
  </si>
  <si>
    <t>Т150</t>
  </si>
  <si>
    <t>БМ-205</t>
  </si>
  <si>
    <t>МТЗ-5</t>
  </si>
  <si>
    <t>Т-40М</t>
  </si>
  <si>
    <t>Причіп</t>
  </si>
  <si>
    <t>ГБК-819</t>
  </si>
  <si>
    <t>Хюндай "Элантра"</t>
  </si>
  <si>
    <t>Чернігів МЕМ</t>
  </si>
  <si>
    <t>ЛЕК-452</t>
  </si>
  <si>
    <t>мікроавт.</t>
  </si>
  <si>
    <t>УАЗ-2206</t>
  </si>
  <si>
    <t>вант-пас.</t>
  </si>
  <si>
    <t>вант. борт.</t>
  </si>
  <si>
    <t>вант-пас. борт.</t>
  </si>
  <si>
    <t>13,4 г.</t>
  </si>
  <si>
    <t>вант-пас. фург.</t>
  </si>
  <si>
    <t xml:space="preserve">вант-пас. </t>
  </si>
  <si>
    <t>електролаб.</t>
  </si>
  <si>
    <t>АГП-18</t>
  </si>
  <si>
    <t>23 д.т.</t>
  </si>
  <si>
    <t>сид. тягач</t>
  </si>
  <si>
    <t>22,4 д.т.</t>
  </si>
  <si>
    <t>гідромолот</t>
  </si>
  <si>
    <t>5,8 д.т.</t>
  </si>
  <si>
    <t>Борес-2102</t>
  </si>
  <si>
    <t>екскаватор</t>
  </si>
  <si>
    <t>7,9 д.т.</t>
  </si>
  <si>
    <t>ЕО-2625</t>
  </si>
  <si>
    <t>14,5 д.т.</t>
  </si>
  <si>
    <t>1ПТС-9</t>
  </si>
  <si>
    <t>ОДАЗ-9925</t>
  </si>
  <si>
    <t>АД-30 Т/400</t>
  </si>
  <si>
    <t>диз.генератор</t>
  </si>
  <si>
    <t>8,4 д.т.</t>
  </si>
  <si>
    <t>ПК-10</t>
  </si>
  <si>
    <t>компресор</t>
  </si>
  <si>
    <t>ВАЗ-21053</t>
  </si>
  <si>
    <t>Сосниця РЕМ</t>
  </si>
  <si>
    <t>вантажопасаж.</t>
  </si>
  <si>
    <t>автобур</t>
  </si>
  <si>
    <t>31/8 л/год.</t>
  </si>
  <si>
    <t>автовишка</t>
  </si>
  <si>
    <t>29/4.9 л/год.</t>
  </si>
  <si>
    <t>будка</t>
  </si>
  <si>
    <t>40/6 л/год.</t>
  </si>
  <si>
    <t>ЮМЗ-6 КЛ</t>
  </si>
  <si>
    <t>4,9 л/год.</t>
  </si>
  <si>
    <t>32/5,2 л/год.</t>
  </si>
  <si>
    <t>ДВ-1792.20</t>
  </si>
  <si>
    <t>автонавантаж.</t>
  </si>
  <si>
    <t>3,5 л/год.</t>
  </si>
  <si>
    <t>4,4 л/год.</t>
  </si>
  <si>
    <t>Т-40 АМ</t>
  </si>
  <si>
    <t>КАМАЗ-53212</t>
  </si>
  <si>
    <t>ізотерм.фургон</t>
  </si>
  <si>
    <t>ЗІЛ-ММЗ 4502</t>
  </si>
  <si>
    <t>вант.пасаж.</t>
  </si>
  <si>
    <t>ГАЗ-САЗ 3507</t>
  </si>
  <si>
    <t>ГАЗ-3102</t>
  </si>
  <si>
    <t>УРАЛ 4320</t>
  </si>
  <si>
    <t xml:space="preserve">автовишка    ТВГ-15 </t>
  </si>
  <si>
    <t>ЗІЛ 157КД</t>
  </si>
  <si>
    <t>ЗІЛ431412</t>
  </si>
  <si>
    <t>БМ-302</t>
  </si>
  <si>
    <t>БМ-303</t>
  </si>
  <si>
    <t>ел.лабораторія</t>
  </si>
  <si>
    <t>ЗИЛ 441510</t>
  </si>
  <si>
    <t xml:space="preserve">автовишка    АП-17 </t>
  </si>
  <si>
    <t>ГАЗ-31024</t>
  </si>
  <si>
    <t>ГАЗ-3703</t>
  </si>
  <si>
    <t>автовишка  АПТ-17</t>
  </si>
  <si>
    <t>автовишка     АП-17</t>
  </si>
  <si>
    <t>полупричіп</t>
  </si>
  <si>
    <t>ГАЗ 322132</t>
  </si>
  <si>
    <t>ІР-5</t>
  </si>
  <si>
    <t>IFA НШ60</t>
  </si>
  <si>
    <t>Вант-пас.</t>
  </si>
  <si>
    <t>Легкова</t>
  </si>
  <si>
    <t>Вант-борт.</t>
  </si>
  <si>
    <t>М / автоб.</t>
  </si>
  <si>
    <t>Вант.фур.</t>
  </si>
  <si>
    <t>ГАЗ-САЗ-3508</t>
  </si>
  <si>
    <t>ВАЗ-21099</t>
  </si>
  <si>
    <t>ВАЗ-21063</t>
  </si>
  <si>
    <t>ЗИЛ-4502</t>
  </si>
  <si>
    <t>Вант.сам.</t>
  </si>
  <si>
    <t>КС-2561К</t>
  </si>
  <si>
    <t>Вант.пас.</t>
  </si>
  <si>
    <t>ХТЗ-150 К-03</t>
  </si>
  <si>
    <t>Борзна РЕМ</t>
  </si>
  <si>
    <t>29/4,9</t>
  </si>
  <si>
    <t xml:space="preserve">ГАЗ-53 </t>
  </si>
  <si>
    <t>лабораторія</t>
  </si>
  <si>
    <t>спец.майстерня</t>
  </si>
  <si>
    <t>40/6</t>
  </si>
  <si>
    <t xml:space="preserve">ГАЗ-2705 </t>
  </si>
  <si>
    <t>вантаж.-пас</t>
  </si>
  <si>
    <t>ГМАП 18-10</t>
  </si>
  <si>
    <t>21,8/5</t>
  </si>
  <si>
    <t>фургон-спец.</t>
  </si>
  <si>
    <t>ВАЗ-2112</t>
  </si>
  <si>
    <t>навантажувач</t>
  </si>
  <si>
    <t>ПСЄ-Ф-12,5</t>
  </si>
  <si>
    <t>887-Б</t>
  </si>
  <si>
    <t>1Р-5</t>
  </si>
  <si>
    <t xml:space="preserve"> легковий</t>
  </si>
  <si>
    <t xml:space="preserve">мікроавтобус </t>
  </si>
  <si>
    <t>ЛЭК-452-77</t>
  </si>
  <si>
    <t>вантажопасажирський</t>
  </si>
  <si>
    <t>УАЗ-39094(АС-U39094DG-6)</t>
  </si>
  <si>
    <t>ГАЗ-33023-414</t>
  </si>
  <si>
    <t>бензин-14,5(газ-18)</t>
  </si>
  <si>
    <t>вантажний фургон</t>
  </si>
  <si>
    <t>автовежа телескопична</t>
  </si>
  <si>
    <t>26+3м/час</t>
  </si>
  <si>
    <t>17+7,9м/час</t>
  </si>
  <si>
    <t>ГАЗ-53 АП-17</t>
  </si>
  <si>
    <t>32,9+5,2м/час</t>
  </si>
  <si>
    <t>ГАЗ-3307 АП-18</t>
  </si>
  <si>
    <t>32+5,2м/час</t>
  </si>
  <si>
    <t>КС-2561Д</t>
  </si>
  <si>
    <t>40+6м/час</t>
  </si>
  <si>
    <t xml:space="preserve">ГАЗ 330273-388 </t>
  </si>
  <si>
    <t>ЭО-2621 В3</t>
  </si>
  <si>
    <t>ексковатор</t>
  </si>
  <si>
    <t>7,4м/час</t>
  </si>
  <si>
    <t>бурильнокранова машина</t>
  </si>
  <si>
    <t>15,5м/час</t>
  </si>
  <si>
    <t>трактор транстпортний</t>
  </si>
  <si>
    <t>7,9м/час</t>
  </si>
  <si>
    <t>причіп роспуск</t>
  </si>
  <si>
    <t>ГАЗ-3307 АП-1803</t>
  </si>
  <si>
    <t>Вантажна</t>
  </si>
  <si>
    <t>ГАЗ-3307 АР-18</t>
  </si>
  <si>
    <t>ВАЗ 21083</t>
  </si>
  <si>
    <t>бортова</t>
  </si>
  <si>
    <t>ГАЗ 2705</t>
  </si>
  <si>
    <t>груз-пасажир</t>
  </si>
  <si>
    <t>ГАЗ 3502</t>
  </si>
  <si>
    <t>ГАЗ 330232-388</t>
  </si>
  <si>
    <t>ГАЗ-53К</t>
  </si>
  <si>
    <t>ГАЗ-52ТВГ</t>
  </si>
  <si>
    <t>Т-150 БКМ</t>
  </si>
  <si>
    <t>УАЗ 31514</t>
  </si>
  <si>
    <t>УАЗ 3303</t>
  </si>
  <si>
    <t>УАЗ 3309</t>
  </si>
  <si>
    <t>вант. пас.</t>
  </si>
  <si>
    <t>ГАЗ 53</t>
  </si>
  <si>
    <t>ван. платф.</t>
  </si>
  <si>
    <t>ТВГ - 15</t>
  </si>
  <si>
    <t>ВС -18</t>
  </si>
  <si>
    <t>АП - 18</t>
  </si>
  <si>
    <t>ГАЗ 66</t>
  </si>
  <si>
    <t>БМ - 302</t>
  </si>
  <si>
    <t>ГАЗ 3307</t>
  </si>
  <si>
    <t>вантаж.</t>
  </si>
  <si>
    <t>ВАЗ 21093</t>
  </si>
  <si>
    <t>ГАЗ 330232</t>
  </si>
  <si>
    <t xml:space="preserve">Т - 150 </t>
  </si>
  <si>
    <t>БГУ</t>
  </si>
  <si>
    <t>МТЗ - 82</t>
  </si>
  <si>
    <t>ГАЗ-САЗ</t>
  </si>
  <si>
    <t>1ПТС-2</t>
  </si>
  <si>
    <t>МАЗ-533603-221</t>
  </si>
  <si>
    <t>Дирекція</t>
  </si>
  <si>
    <t>Газ-32213-414</t>
  </si>
  <si>
    <t>М.автобус</t>
  </si>
  <si>
    <t>Nsssan Almera</t>
  </si>
  <si>
    <t>Toyota Land Cruser</t>
  </si>
  <si>
    <t>Skoda Felicia</t>
  </si>
  <si>
    <t>Mitsubishi Galant</t>
  </si>
  <si>
    <t>Mitsubishi Pajero</t>
  </si>
  <si>
    <t>Mitsubishi Lanser</t>
  </si>
  <si>
    <t>Mazda6</t>
  </si>
  <si>
    <t>MazdaE2200</t>
  </si>
  <si>
    <t>Газ 3302-414</t>
  </si>
  <si>
    <t>Ваз 21213</t>
  </si>
  <si>
    <t xml:space="preserve">УАЗ-3909  </t>
  </si>
  <si>
    <t>Н-Сіверськ  РЕМ</t>
  </si>
  <si>
    <t xml:space="preserve"> 17.00</t>
  </si>
  <si>
    <t xml:space="preserve">ГАЗ-52    </t>
  </si>
  <si>
    <t>груз.фургон</t>
  </si>
  <si>
    <t xml:space="preserve"> 25.00</t>
  </si>
  <si>
    <t>ГАЗ-32213"</t>
  </si>
  <si>
    <t xml:space="preserve"> 19.10</t>
  </si>
  <si>
    <t xml:space="preserve">ВАЗ-21061 </t>
  </si>
  <si>
    <t xml:space="preserve">  9.20</t>
  </si>
  <si>
    <t>АТП</t>
  </si>
  <si>
    <t xml:space="preserve"> 31.00/5,4</t>
  </si>
  <si>
    <t xml:space="preserve">УАЗ-31512 </t>
  </si>
  <si>
    <t xml:space="preserve"> 16.00</t>
  </si>
  <si>
    <t xml:space="preserve">ГАЗ-53    </t>
  </si>
  <si>
    <t xml:space="preserve"> 28.00</t>
  </si>
  <si>
    <t xml:space="preserve">ГАЗ-66    </t>
  </si>
  <si>
    <t xml:space="preserve"> 31.00</t>
  </si>
  <si>
    <t xml:space="preserve">УАЗ-3909-94  </t>
  </si>
  <si>
    <t xml:space="preserve"> 17.50</t>
  </si>
  <si>
    <t xml:space="preserve">Т-40АМ    </t>
  </si>
  <si>
    <t>22.0</t>
  </si>
  <si>
    <t xml:space="preserve">Т-150     </t>
  </si>
  <si>
    <t xml:space="preserve"> 15.50</t>
  </si>
  <si>
    <t xml:space="preserve">ГАЗ-3309  </t>
  </si>
  <si>
    <t xml:space="preserve"> 22.4/5,0</t>
  </si>
  <si>
    <t xml:space="preserve">ГАЗ-3302  </t>
  </si>
  <si>
    <t>груз.бортова</t>
  </si>
  <si>
    <t xml:space="preserve"> 12.90</t>
  </si>
  <si>
    <t>МАЗ-5245</t>
  </si>
  <si>
    <t>п.причіп</t>
  </si>
  <si>
    <t>1Р1-5</t>
  </si>
  <si>
    <t>СД-1 фургон</t>
  </si>
  <si>
    <t>Куликівка РЕМ</t>
  </si>
  <si>
    <t>ГАЗ 53-12</t>
  </si>
  <si>
    <t>СД-2 фургон</t>
  </si>
  <si>
    <t>СД-3 фургон</t>
  </si>
  <si>
    <t>Автовишка         ТВГ-15</t>
  </si>
  <si>
    <t>26/3</t>
  </si>
  <si>
    <t>Автовишка         АПТ-17</t>
  </si>
  <si>
    <t>31/5</t>
  </si>
  <si>
    <t>ГАЗ 33023</t>
  </si>
  <si>
    <t>бортов. тентован</t>
  </si>
  <si>
    <t>ГАЗ 330273</t>
  </si>
  <si>
    <t>ВАЗ 21074</t>
  </si>
  <si>
    <t>10 л 1 м/г</t>
  </si>
  <si>
    <t>5,5л 1 м/г</t>
  </si>
  <si>
    <t>2ПТС-6</t>
  </si>
  <si>
    <t>* Програма розвитку електричних мереж ПАТ "ЧЕРНІГІВОБЛЕНЕРГО"</t>
  </si>
  <si>
    <t>1. Будівництво, модернізація та реконструкція електричних мереж та обладнання</t>
  </si>
  <si>
    <t>1.1.2.2</t>
  </si>
  <si>
    <t>Усього 1.1.2.2</t>
  </si>
  <si>
    <t>1.1.2.4</t>
  </si>
  <si>
    <t>1.1.2.4.1</t>
  </si>
  <si>
    <t>Усього 1.1.2.4</t>
  </si>
  <si>
    <t>Усього 1.1.2</t>
  </si>
  <si>
    <t>1.1.5.1</t>
  </si>
  <si>
    <t>1.1.5.1.1</t>
  </si>
  <si>
    <t>Усього 1.1.5.1</t>
  </si>
  <si>
    <t>1.1.5.2</t>
  </si>
  <si>
    <t>Усього 1.1.5.2</t>
  </si>
  <si>
    <t>Усього 1.1.5</t>
  </si>
  <si>
    <t>Усього 1.1</t>
  </si>
  <si>
    <t>Усього 1.2</t>
  </si>
  <si>
    <t>2. Заходи зі зниження нетехнічних витрат електричної енергії</t>
  </si>
  <si>
    <t>2.1.4</t>
  </si>
  <si>
    <t>2.1.4.1</t>
  </si>
  <si>
    <t>2.1.4.2</t>
  </si>
  <si>
    <t>Усього 2.1.4</t>
  </si>
  <si>
    <t>Усього 2.1</t>
  </si>
  <si>
    <t>Усього 2.2</t>
  </si>
  <si>
    <t>Усього 3.1.1</t>
  </si>
  <si>
    <t>3.1.2</t>
  </si>
  <si>
    <t>3.1.2.1</t>
  </si>
  <si>
    <t>Усього 3.1.2</t>
  </si>
  <si>
    <t>Усього 3.1</t>
  </si>
  <si>
    <t>3.2.3</t>
  </si>
  <si>
    <t>3.2.4</t>
  </si>
  <si>
    <t>Усього 3.2</t>
  </si>
  <si>
    <t>4. Впровадження та розвиток інформаційних технологій</t>
  </si>
  <si>
    <t>3. Впровадження та розвиток автоматизованих систем диспетчерсько-технологічного керування (АСДТК)</t>
  </si>
  <si>
    <t>Усього 4.1.1</t>
  </si>
  <si>
    <t>Усього 4.1</t>
  </si>
  <si>
    <t>Усього 4.2.1</t>
  </si>
  <si>
    <t>Усього 4.2</t>
  </si>
  <si>
    <t>4.3.7</t>
  </si>
  <si>
    <t>4.3.7.1</t>
  </si>
  <si>
    <t>Усього 4.3.7</t>
  </si>
  <si>
    <t>Усього 4.3</t>
  </si>
  <si>
    <t>Усього по розділу 4:</t>
  </si>
  <si>
    <t>5. Впровадження та розвиток систем зв'язку</t>
  </si>
  <si>
    <t>5.1.1.1</t>
  </si>
  <si>
    <t>5.1.1.2</t>
  </si>
  <si>
    <t>Усього 5.1.1</t>
  </si>
  <si>
    <t>Усього 5.1</t>
  </si>
  <si>
    <t>6. Модернізація та закупівля колісної техніки</t>
  </si>
  <si>
    <t>6.3</t>
  </si>
  <si>
    <t xml:space="preserve">7. Інше </t>
  </si>
  <si>
    <t>Усього по розділу 1:</t>
  </si>
  <si>
    <t>Усього по розділу 2:</t>
  </si>
  <si>
    <t>Усього по розділу 3:</t>
  </si>
  <si>
    <t>Усього по розділу 5:</t>
  </si>
  <si>
    <t>Усього по розділу 6:</t>
  </si>
  <si>
    <t>Усього по розділу 7:</t>
  </si>
  <si>
    <t>1.1.2.1</t>
  </si>
  <si>
    <t>Усього 1.1.2.1</t>
  </si>
  <si>
    <t>Будівництво нових ПС, РП та ТП усього, з них:</t>
  </si>
  <si>
    <t>Усього 1.1.3</t>
  </si>
  <si>
    <t>Усього 1.1.1</t>
  </si>
  <si>
    <t>Реконструкція ПС, РП та ТП усього, з них:</t>
  </si>
  <si>
    <t>Усього 1.1.4</t>
  </si>
  <si>
    <t xml:space="preserve">впровадження комерційного обліку  електричної енергії </t>
  </si>
  <si>
    <t>Усього 2.1.1</t>
  </si>
  <si>
    <t>2.1.2</t>
  </si>
  <si>
    <t>впровадження обліку  електричної енергії на межі структурних підрозділів (районів електричних мереж, філій)</t>
  </si>
  <si>
    <t>Усього 2.1.2</t>
  </si>
  <si>
    <t>2.1.3</t>
  </si>
  <si>
    <t>заміна вимірювальних трансформаторів</t>
  </si>
  <si>
    <t>Усього 2.1.3</t>
  </si>
  <si>
    <t>4.3.1</t>
  </si>
  <si>
    <t>4.3.2</t>
  </si>
  <si>
    <t>4.3.3</t>
  </si>
  <si>
    <t>4.3.4</t>
  </si>
  <si>
    <t>4.3.5</t>
  </si>
  <si>
    <t>4.3.6</t>
  </si>
  <si>
    <t>Hyngai                  Sonata</t>
  </si>
  <si>
    <t>Hyngai                    Elantra</t>
  </si>
  <si>
    <t>Автопогруж-        чик</t>
  </si>
  <si>
    <t>вышка телескопичес           кая ТВ-26</t>
  </si>
  <si>
    <t>вышка телескопичес                  кая ТВ-26</t>
  </si>
  <si>
    <t>вышка телескопичес             кая ВТ-23</t>
  </si>
  <si>
    <t>вышка телескопичес           кая ВТ-23</t>
  </si>
  <si>
    <t xml:space="preserve">лесотехничес          кий измельчитель </t>
  </si>
  <si>
    <t>автоподъём            ник АГП-18</t>
  </si>
  <si>
    <t>груз.пас.                 фургон</t>
  </si>
  <si>
    <t>груз.пас.                  фургон</t>
  </si>
  <si>
    <t>4.3.3.1</t>
  </si>
  <si>
    <t>Усього 4.3.3</t>
  </si>
  <si>
    <t>2.1.1.1</t>
  </si>
  <si>
    <t>Назва показника</t>
  </si>
  <si>
    <t>3.3</t>
  </si>
  <si>
    <t>3.4</t>
  </si>
  <si>
    <t>(П. І. Б.)</t>
  </si>
  <si>
    <t>М. П.</t>
  </si>
  <si>
    <t>О.Д. Пузирьков-Уваров</t>
  </si>
  <si>
    <t>2015 рік</t>
  </si>
  <si>
    <t>2.8</t>
  </si>
  <si>
    <t>2.9</t>
  </si>
  <si>
    <t>Усього</t>
  </si>
  <si>
    <t>у тому числі</t>
  </si>
  <si>
    <t>Строк експлуатації                                                                                     (у роках)</t>
  </si>
  <si>
    <t>Строк експлуатації                    
(у роках)</t>
  </si>
  <si>
    <t>Строк експл.    
(у роках)</t>
  </si>
  <si>
    <t>УСЬОГО</t>
  </si>
  <si>
    <t>(12)=(13)+(14)</t>
  </si>
  <si>
    <t>(15)=(16)+(16)</t>
  </si>
  <si>
    <t>(18)=(19)+(20)+(21)=
=(22)+(23)+(24)+(25)</t>
  </si>
  <si>
    <t>(26)=(27)+(28)=
=(29)+(30)</t>
  </si>
  <si>
    <t>2.3</t>
  </si>
  <si>
    <t>Прогнозований станом на кінець прогнозного періоду</t>
  </si>
  <si>
    <t>усього</t>
  </si>
  <si>
    <t>Кабель КВВГЭ 19х1</t>
  </si>
  <si>
    <t>Кабель КВВГЭ 7х1</t>
  </si>
  <si>
    <t>Кабель КВВГЭ 5х1</t>
  </si>
  <si>
    <t>B-10 T-1</t>
  </si>
  <si>
    <t>В-10 T-1</t>
  </si>
  <si>
    <t>Комп'ютери 2010 року випуску</t>
  </si>
  <si>
    <t>Комп'ютери 2011 року випуску</t>
  </si>
  <si>
    <t>до 8 років</t>
  </si>
  <si>
    <t>8 - 20 років</t>
  </si>
  <si>
    <t>20 - 30 років</t>
  </si>
  <si>
    <t>більше 30 років</t>
  </si>
  <si>
    <t>відсутні</t>
  </si>
  <si>
    <t>В-110 АТ-1</t>
  </si>
  <si>
    <t>В-110 АТ-2</t>
  </si>
  <si>
    <t>В-35 АТ-1</t>
  </si>
  <si>
    <t>В-35 АТ-2</t>
  </si>
  <si>
    <t>ТВП-1</t>
  </si>
  <si>
    <t>ТВП-2</t>
  </si>
  <si>
    <t>ТВП-3</t>
  </si>
  <si>
    <t>ПЛ-110 Комарин</t>
  </si>
  <si>
    <t>ПС 110 Бобровиця</t>
  </si>
  <si>
    <t>ПС 110 Бахмач</t>
  </si>
  <si>
    <t>10.3.1</t>
  </si>
  <si>
    <t>напругою 0,4 кВ</t>
  </si>
  <si>
    <t xml:space="preserve">відповідає </t>
  </si>
  <si>
    <t>ПС 110 Бахмач-2</t>
  </si>
  <si>
    <t>ПС 110 Плиски</t>
  </si>
  <si>
    <t>3.5</t>
  </si>
  <si>
    <t>3.6</t>
  </si>
  <si>
    <t>3.7</t>
  </si>
  <si>
    <t>3.8</t>
  </si>
  <si>
    <t>1.2.2</t>
  </si>
  <si>
    <t>Початок робіт (рік, місяць)</t>
  </si>
  <si>
    <t>4.3</t>
  </si>
  <si>
    <t>2016 рік</t>
  </si>
  <si>
    <t>ПАТ "ЧЕРНІГІВОБЛЕНЕРГО"</t>
  </si>
  <si>
    <t xml:space="preserve">1. Перелік об'єктів незавершеного будівництва, модернізації та реконструкції </t>
  </si>
  <si>
    <t>з них підлягають списанню</t>
  </si>
  <si>
    <t>шт.</t>
  </si>
  <si>
    <t>35кВ</t>
  </si>
  <si>
    <t>2.6</t>
  </si>
  <si>
    <t>Інвестиційна програма</t>
  </si>
  <si>
    <t>Назва організації</t>
  </si>
  <si>
    <t>по</t>
  </si>
  <si>
    <t>2.7</t>
  </si>
  <si>
    <t>напругою 150 кВ</t>
  </si>
  <si>
    <t>напругою 110 кВ</t>
  </si>
  <si>
    <t>напругою 35 кВ</t>
  </si>
  <si>
    <t>напругою 10 кВ</t>
  </si>
  <si>
    <t>напругою 6 кВ</t>
  </si>
  <si>
    <t>у т.ч.:</t>
  </si>
  <si>
    <t>Клас точності лічильника (необхідний)</t>
  </si>
  <si>
    <t>Клас точності лічильника (наявний)</t>
  </si>
  <si>
    <t>Примітка</t>
  </si>
  <si>
    <t>Найменування підстанцій (станцій) та приєднань</t>
  </si>
  <si>
    <t>Тип лічильника прийому/
віддачі</t>
  </si>
  <si>
    <t>Відсоток від загальної кількості</t>
  </si>
  <si>
    <t>Кількість, шт.</t>
  </si>
  <si>
    <t>Загальна кількість точок обліку</t>
  </si>
  <si>
    <t>Прилади обліку</t>
  </si>
  <si>
    <t>Індукційні</t>
  </si>
  <si>
    <t>Електронні</t>
  </si>
  <si>
    <t>Відсутні</t>
  </si>
  <si>
    <t>з імпульсним виходом</t>
  </si>
  <si>
    <t>без імпульсного виходу</t>
  </si>
  <si>
    <t>білінгових систем</t>
  </si>
  <si>
    <t>роки</t>
  </si>
  <si>
    <t>Архіватори мови</t>
  </si>
  <si>
    <t>Цифрові реєстратори подій</t>
  </si>
  <si>
    <t>1 клас</t>
  </si>
  <si>
    <t>2 клас</t>
  </si>
  <si>
    <t>Показники капіталовкладень</t>
  </si>
  <si>
    <t>Залучені кошти</t>
  </si>
  <si>
    <t>Кредити</t>
  </si>
  <si>
    <t>Іноземні інвестиції</t>
  </si>
  <si>
    <t>Технічна допомога (гранти)</t>
  </si>
  <si>
    <t>Власні кошти</t>
  </si>
  <si>
    <t>Інші (розшифрувати)</t>
  </si>
  <si>
    <t>Параметр</t>
  </si>
  <si>
    <t>Рік</t>
  </si>
  <si>
    <t>Кількість споживачів (абонентів) ліцензіата:</t>
  </si>
  <si>
    <t>з них населення</t>
  </si>
  <si>
    <t>з них повітряних:</t>
  </si>
  <si>
    <t>35 кВ</t>
  </si>
  <si>
    <t>6/10 кВ</t>
  </si>
  <si>
    <t>кабельних:</t>
  </si>
  <si>
    <t>Нормативна чисельність персоналу, осіб</t>
  </si>
  <si>
    <t>прогноз</t>
  </si>
  <si>
    <t>факт</t>
  </si>
  <si>
    <t xml:space="preserve">прогноз </t>
  </si>
  <si>
    <t>від діяльності з передачі</t>
  </si>
  <si>
    <t>від діяльності з постачання</t>
  </si>
  <si>
    <t>Норма прибутку на базу нарахування, %</t>
  </si>
  <si>
    <t>Втрати електроенергії в мережах, %</t>
  </si>
  <si>
    <t>Понаднормативні втрати, %</t>
  </si>
  <si>
    <t>Сумарна потужність власних трансформаторів, МВА:</t>
  </si>
  <si>
    <t>Кількість приладів обліку, шт.</t>
  </si>
  <si>
    <t>Клас точності приладу обліку</t>
  </si>
  <si>
    <t>Кількість лічильників, які не відповідають вимогам нормативних документів</t>
  </si>
  <si>
    <t xml:space="preserve">      </t>
  </si>
  <si>
    <t>4.2.1</t>
  </si>
  <si>
    <t>4.2.2</t>
  </si>
  <si>
    <t>9.3.1</t>
  </si>
  <si>
    <t>Найменування об'єктів</t>
  </si>
  <si>
    <t>Пропозиції щодо подальшого використання</t>
  </si>
  <si>
    <t>з</t>
  </si>
  <si>
    <t>3. План інвестицій за джерелами фінансування інвестиційної програми на 5 років</t>
  </si>
  <si>
    <t>Ліній електропередач</t>
  </si>
  <si>
    <t>Підстанцій</t>
  </si>
  <si>
    <t>Обсяг основних фондів в умовних одиницях, всього</t>
  </si>
  <si>
    <t>млн.
кВт.год</t>
  </si>
  <si>
    <t>У промислових споживачів</t>
  </si>
  <si>
    <t>Лічильники</t>
  </si>
  <si>
    <t>ПЕРЕВІРКА</t>
  </si>
  <si>
    <t>Індукційні лічильники</t>
  </si>
  <si>
    <t>Електронні лічильники</t>
  </si>
  <si>
    <t xml:space="preserve">на балансі </t>
  </si>
  <si>
    <t>багатотарифні</t>
  </si>
  <si>
    <t xml:space="preserve">з поперед-
ньою 
оплатою </t>
  </si>
  <si>
    <t>Клас точності</t>
  </si>
  <si>
    <t>Клас  точності</t>
  </si>
  <si>
    <t>споживачів</t>
  </si>
  <si>
    <t>індукцій-
них</t>
  </si>
  <si>
    <t>електрон-
них</t>
  </si>
  <si>
    <t>до 4</t>
  </si>
  <si>
    <t>до 8</t>
  </si>
  <si>
    <t>до 12</t>
  </si>
  <si>
    <t>більше 12</t>
  </si>
  <si>
    <t>до 6</t>
  </si>
  <si>
    <t>більше 6</t>
  </si>
  <si>
    <t>(2)=(3)+(4)</t>
  </si>
  <si>
    <t>(4)=(5)+(6)=
=(16)+(24)</t>
  </si>
  <si>
    <t>(2)=(3+4)</t>
  </si>
  <si>
    <t>(4)=(5+6)</t>
  </si>
  <si>
    <t>(10)=(11)+(12)</t>
  </si>
  <si>
    <t>(13)=(14)+(15)</t>
  </si>
  <si>
    <t>(10)=(11+12)</t>
  </si>
  <si>
    <t>(13)=(14+15)</t>
  </si>
  <si>
    <t>Х</t>
  </si>
  <si>
    <t>(16)=(17)+(18)+(19)=
=(20)+(21)+(22)+(23)</t>
  </si>
  <si>
    <t>(16)=(17+18+19)</t>
  </si>
  <si>
    <t>(16)=(20+21+22+23)</t>
  </si>
  <si>
    <t>(24)=(25)+(26)=
=(27)+(28)</t>
  </si>
  <si>
    <t>(25+26)=(27+28)</t>
  </si>
  <si>
    <t>(4)=(16+24)</t>
  </si>
  <si>
    <t>1 фазні</t>
  </si>
  <si>
    <t>3 фазні</t>
  </si>
  <si>
    <t xml:space="preserve">Разом </t>
  </si>
  <si>
    <t xml:space="preserve">У непромислових споживачів </t>
  </si>
  <si>
    <t xml:space="preserve">У побутових споживачів </t>
  </si>
  <si>
    <t xml:space="preserve">                   Кількість встановлених лічильників (шт.)</t>
  </si>
  <si>
    <t>до 16</t>
  </si>
  <si>
    <t>до 24</t>
  </si>
  <si>
    <t>більше 24</t>
  </si>
  <si>
    <t>Таблиця 4.А</t>
  </si>
  <si>
    <t>індукційних</t>
  </si>
  <si>
    <t>електронних</t>
  </si>
  <si>
    <t>з простро-
ченим терміном держ-повірки</t>
  </si>
  <si>
    <t>(4)=(5)+(6)=
=(7)+(8)</t>
  </si>
  <si>
    <t>(16)=(17+18)</t>
  </si>
  <si>
    <t>(4)=(7+8)</t>
  </si>
  <si>
    <t>5. Загальний опис робіт</t>
  </si>
  <si>
    <t>Прогнозний період</t>
  </si>
  <si>
    <t>П'ятирічний період</t>
  </si>
  <si>
    <t>№ сторінки пояснювальної записки</t>
  </si>
  <si>
    <t>Будівництво, реконструкція та модернізація електричних мереж, у т.ч:</t>
  </si>
  <si>
    <t>0,4 кВ</t>
  </si>
  <si>
    <t>№ з\п</t>
  </si>
  <si>
    <t>Джерела фінансування</t>
  </si>
  <si>
    <t>Власні кошти, у т.ч.</t>
  </si>
  <si>
    <t xml:space="preserve"> амортизаційні відрахування</t>
  </si>
  <si>
    <t>1.1.4</t>
  </si>
  <si>
    <t>2.2.1</t>
  </si>
  <si>
    <t>Наявність дублюючого лічильника</t>
  </si>
  <si>
    <t>Кількість трансформаторів напруги, що підлягають заміні (встановленню), шт.</t>
  </si>
  <si>
    <t>Кількість трансформаторів струму, що підлягають заміні (встановленню), шт.</t>
  </si>
  <si>
    <t>Будівництво, модернізація та реконструкція електричних мереж та обладнання</t>
  </si>
  <si>
    <t>2. Розрахунок джерел фінансування інвестиційної програми (тис. грн без ПДВ)</t>
  </si>
  <si>
    <t>Джерела фінансування, (тис.грн без ПДВ)</t>
  </si>
  <si>
    <t>тис.грн</t>
  </si>
  <si>
    <t>1.1</t>
  </si>
  <si>
    <t>1.2</t>
  </si>
  <si>
    <t>1</t>
  </si>
  <si>
    <t>1.1.1</t>
  </si>
  <si>
    <t>2.1</t>
  </si>
  <si>
    <t>2.1.1</t>
  </si>
  <si>
    <t>2.2</t>
  </si>
  <si>
    <t>3.1</t>
  </si>
  <si>
    <t>3.1.1</t>
  </si>
  <si>
    <t>3.2</t>
  </si>
  <si>
    <t>4.1</t>
  </si>
  <si>
    <t>4.1.1</t>
  </si>
  <si>
    <t>4.2</t>
  </si>
  <si>
    <t>7.1</t>
  </si>
  <si>
    <t>7.2</t>
  </si>
  <si>
    <t>7.2.1</t>
  </si>
  <si>
    <t>9.1</t>
  </si>
  <si>
    <t>9.1.1</t>
  </si>
  <si>
    <t>9.2</t>
  </si>
  <si>
    <t>9.3</t>
  </si>
  <si>
    <t>10.1</t>
  </si>
  <si>
    <t>10.2</t>
  </si>
  <si>
    <t>Наявність проектної документації (дата і номер документа про її затвердження)*</t>
  </si>
  <si>
    <t>10.2.1</t>
  </si>
  <si>
    <t>10.3</t>
  </si>
  <si>
    <t>будівництво ПЛ-0,4 кВ самоутримним ізольованим проводом</t>
  </si>
  <si>
    <t>будівництво ПЛ-0,4 кВ голим проводом</t>
  </si>
  <si>
    <t>2</t>
  </si>
  <si>
    <t>3</t>
  </si>
  <si>
    <t>4</t>
  </si>
  <si>
    <t>7</t>
  </si>
  <si>
    <t>8</t>
  </si>
  <si>
    <t>9</t>
  </si>
  <si>
    <t>10</t>
  </si>
  <si>
    <t>11</t>
  </si>
  <si>
    <t>км / шт</t>
  </si>
  <si>
    <t>В таблицях заповнюються поля виділені жовтим кольором.</t>
  </si>
  <si>
    <t>З приводу заповнення форми звертайтесь за адресою: pustovojtov@nerc.gov.ua</t>
  </si>
  <si>
    <t>Комп'ютери 2012 року випуску</t>
  </si>
  <si>
    <t>тис.грн.</t>
  </si>
  <si>
    <t>ПЛ-110 Славутич</t>
  </si>
  <si>
    <t>ПЛ-110 Неданчичі-1</t>
  </si>
  <si>
    <t>ПЛ-110 Неданчичі-2</t>
  </si>
  <si>
    <t>ПЛ-110 Калита</t>
  </si>
  <si>
    <t>ПЛ-110 Терещенська</t>
  </si>
  <si>
    <t>ПЛ-110 Шостка</t>
  </si>
  <si>
    <t>ПС 110 Седнів</t>
  </si>
  <si>
    <t>2017 рік</t>
  </si>
  <si>
    <t>шт</t>
  </si>
  <si>
    <t>реконструкція, усього</t>
  </si>
  <si>
    <t>ПЛ-110 (150) кВ, усього</t>
  </si>
  <si>
    <t>будівництво, усього</t>
  </si>
  <si>
    <t>ПЛ-35 кВ, усього</t>
  </si>
  <si>
    <t>ПЛ-6 (10) кВ, усього</t>
  </si>
  <si>
    <t>ПЛ-0,4 кВ, усього</t>
  </si>
  <si>
    <t>4.1.1.1</t>
  </si>
  <si>
    <t>КЛ-35 кВ, усього</t>
  </si>
  <si>
    <t>6.2.1</t>
  </si>
  <si>
    <t>КЛ-6 (10) кВ, усього</t>
  </si>
  <si>
    <t>ПС з вищим класом напруги 110 (150) кВ, усього</t>
  </si>
  <si>
    <t>модернізація, усього</t>
  </si>
  <si>
    <t>ПС з вищим класом напруги 35 кВ, усього</t>
  </si>
  <si>
    <t>Призначення (тип)</t>
  </si>
  <si>
    <t>Рік випуску</t>
  </si>
  <si>
    <t>Належність (структурний підрозділ, служба, РЕМ)</t>
  </si>
  <si>
    <t>Пропонується для заміни</t>
  </si>
  <si>
    <t>за місяць</t>
  </si>
  <si>
    <t>щорічні</t>
  </si>
  <si>
    <t>2.4</t>
  </si>
  <si>
    <t>2.5</t>
  </si>
  <si>
    <t>Директор технічний</t>
  </si>
  <si>
    <t>О.І. Коломієць</t>
  </si>
  <si>
    <t>Витрати пального*, л/100 км</t>
  </si>
  <si>
    <t>Підстава для списання/
заміни</t>
  </si>
  <si>
    <t>Залишкова вартість, тис.грн</t>
  </si>
  <si>
    <t>7.1.1</t>
  </si>
  <si>
    <t>Автокрани</t>
  </si>
  <si>
    <t>Автобурові машини</t>
  </si>
  <si>
    <t>1.3</t>
  </si>
  <si>
    <t>1.4</t>
  </si>
  <si>
    <t>1.5</t>
  </si>
  <si>
    <t>1.6</t>
  </si>
  <si>
    <t>1.7</t>
  </si>
  <si>
    <t>1.8</t>
  </si>
  <si>
    <t>1.9</t>
  </si>
  <si>
    <t>1.10</t>
  </si>
  <si>
    <t>1.11</t>
  </si>
  <si>
    <t>1.12</t>
  </si>
  <si>
    <t>1.13</t>
  </si>
  <si>
    <t>1.14</t>
  </si>
  <si>
    <t>1.15</t>
  </si>
  <si>
    <t>1.16</t>
  </si>
  <si>
    <t>1.17</t>
  </si>
  <si>
    <t>1.18</t>
  </si>
  <si>
    <t>Автотранспортний парк</t>
  </si>
  <si>
    <t>Річний обсяг передачі електроенергії через точку обліку, тис. кВт·год</t>
  </si>
  <si>
    <t>млн.грн.</t>
  </si>
  <si>
    <t>Середньомісячна заробітна плата працівників, грн.</t>
  </si>
  <si>
    <t>База нарахування прибутку, тис. грн.</t>
  </si>
  <si>
    <t>Сума залучених інвестицій, тис. грн.</t>
  </si>
  <si>
    <t>ВАТ ЕК "Чернігівобленерго"</t>
  </si>
  <si>
    <t>відповідає</t>
  </si>
  <si>
    <t>ПС 330 Ніжин</t>
  </si>
  <si>
    <t>10 кВ</t>
  </si>
  <si>
    <t>0,5S</t>
  </si>
  <si>
    <t>ПС 110 Виповзово</t>
  </si>
  <si>
    <t>1.1.2</t>
  </si>
  <si>
    <t>прибуток від ліцензованої діяльності</t>
  </si>
  <si>
    <t>1.1.3</t>
  </si>
  <si>
    <t>операційні витрати</t>
  </si>
  <si>
    <t>у т.ч. на базі тракторів</t>
  </si>
  <si>
    <t>* У тому числі орендовані на довгостроковий період (більше року).</t>
  </si>
  <si>
    <t>Усього
у т.ч:</t>
  </si>
  <si>
    <t>6-20 кВ</t>
  </si>
  <si>
    <t>Спосіб виконання робіт (підрядний/ господарський)</t>
  </si>
  <si>
    <t>Найменування відповідної державної програми</t>
  </si>
  <si>
    <t>Характер робіт (нове будівництво, реконструкція, модернізація)</t>
  </si>
  <si>
    <t>_________________</t>
  </si>
  <si>
    <t>(підпис)</t>
  </si>
  <si>
    <t xml:space="preserve">    "____" ____________ 20___ року</t>
  </si>
  <si>
    <t>економії витрат на паливно-мастильні матеріали</t>
  </si>
  <si>
    <t>зменшення інших витрат</t>
  </si>
  <si>
    <t>зменшення затрат на закупівлю автомобільних шин за рахунок збільшення іх норми пробігу</t>
  </si>
  <si>
    <t>9=5+6+7+8</t>
  </si>
  <si>
    <t>10=4/9</t>
  </si>
  <si>
    <t>Найменування енергооб'єкта, його місцезнаходження та потужність</t>
  </si>
  <si>
    <t>4.1.2</t>
  </si>
  <si>
    <t>4.1.2.1</t>
  </si>
  <si>
    <t>9.2.1</t>
  </si>
  <si>
    <t>10.1.1</t>
  </si>
  <si>
    <t>№</t>
  </si>
  <si>
    <t xml:space="preserve">відповідає  </t>
  </si>
  <si>
    <t>Тип вимірювального трансформатора</t>
  </si>
  <si>
    <t>Кількість трансформаторів, що підлягає заміні, шт.</t>
  </si>
  <si>
    <t>Обсяги робіт та капіталовкладень
ПЛ, КЛ / ПС</t>
  </si>
  <si>
    <t>ПЛ-35 Осняки</t>
  </si>
  <si>
    <t>6.1</t>
  </si>
  <si>
    <t>6.2</t>
  </si>
  <si>
    <t>ІV квартал</t>
  </si>
  <si>
    <t>5.І. Будівництво, модернізація та реконструкція електричних мереж та обладнання</t>
  </si>
  <si>
    <t>ЧнТЕЦ</t>
  </si>
  <si>
    <t>ПЛ-110 Чернігівська</t>
  </si>
  <si>
    <t>110кВ</t>
  </si>
  <si>
    <t>ПЛ-110 Розгрузочна</t>
  </si>
  <si>
    <t>ПЛ-110 Тягова</t>
  </si>
  <si>
    <t>ПЛ-110 Березна</t>
  </si>
  <si>
    <t>ПЛ-110 Придеснянська</t>
  </si>
  <si>
    <t>ПЛ-110 Куликівка</t>
  </si>
  <si>
    <t>ПС 330 Чернігівська</t>
  </si>
  <si>
    <t>В-10 Т-1</t>
  </si>
  <si>
    <t>В-10 Т-2</t>
  </si>
  <si>
    <t>ПС 110 Куликівка</t>
  </si>
  <si>
    <t>ПЛ-35 Орлівка</t>
  </si>
  <si>
    <t>ПС 35 Чемер</t>
  </si>
  <si>
    <t>ПС 35 Олишівка</t>
  </si>
  <si>
    <t>ПЛ-35 Лихачів</t>
  </si>
  <si>
    <t>ПС 110 Городня</t>
  </si>
  <si>
    <t>ПЛ-35 Пекуровка</t>
  </si>
  <si>
    <t>ПЛ-35 Хоробичі</t>
  </si>
  <si>
    <t>ПС 110 Козелець</t>
  </si>
  <si>
    <t>B-35 T-1</t>
  </si>
  <si>
    <t>B-35 T-2</t>
  </si>
  <si>
    <t>ПС 110 Остер</t>
  </si>
  <si>
    <t>ПС 110 Оболоння</t>
  </si>
  <si>
    <t>ПС-35 Понорниця</t>
  </si>
  <si>
    <t>ПС 110 Корюківка</t>
  </si>
  <si>
    <t>ПС 110 Холми</t>
  </si>
  <si>
    <t>B-10T-2</t>
  </si>
  <si>
    <t>ПС 110 Мена-1</t>
  </si>
  <si>
    <t>В-10Т-1</t>
  </si>
  <si>
    <t>ПС 110 Мена-2</t>
  </si>
  <si>
    <t>В-35 Т-1</t>
  </si>
  <si>
    <t>В-35 Т-2</t>
  </si>
  <si>
    <t xml:space="preserve">35 кВ </t>
  </si>
  <si>
    <t>В-10Т-2</t>
  </si>
  <si>
    <t>ПС 110 Березна</t>
  </si>
  <si>
    <t xml:space="preserve">відповідає   </t>
  </si>
  <si>
    <t>ПЛ-35 Стольне</t>
  </si>
  <si>
    <t>ПС 110 Н.Сіверський</t>
  </si>
  <si>
    <t>В-35Т-1</t>
  </si>
  <si>
    <t>ПС 110 Нерафа</t>
  </si>
  <si>
    <t>ПЛ-35 Павлівка</t>
  </si>
  <si>
    <t>ПС 110 Ріпки</t>
  </si>
  <si>
    <t>ПЛ-35 Замглай</t>
  </si>
  <si>
    <t>ПС 35 Любеч</t>
  </si>
  <si>
    <t>ПС 35 Малинівка</t>
  </si>
  <si>
    <t>ПС 35 Петруші</t>
  </si>
  <si>
    <t>ПС 35 Селище</t>
  </si>
  <si>
    <t>ПС 35 Осняки</t>
  </si>
  <si>
    <t>ПС 110 Семенівка-2</t>
  </si>
  <si>
    <t>ПС 35 Машево</t>
  </si>
  <si>
    <t>ПЛ-35 Жадово</t>
  </si>
  <si>
    <t>ПС 35 Чорнотичи</t>
  </si>
  <si>
    <t>ПС 110 Сосниця</t>
  </si>
  <si>
    <t>ПС 35 Мохнатин</t>
  </si>
  <si>
    <t>ПЛ-35 Мньов</t>
  </si>
  <si>
    <t>ПЛ-35 Снов'янка</t>
  </si>
  <si>
    <t>ПС 110 Щорс</t>
  </si>
  <si>
    <t>10кВ</t>
  </si>
  <si>
    <t>ПС 35 Петрівка</t>
  </si>
  <si>
    <t>ПС 35 Горськ</t>
  </si>
  <si>
    <t>10кВ,</t>
  </si>
  <si>
    <t>ПС 35 Низківка</t>
  </si>
  <si>
    <t xml:space="preserve">Голова правління </t>
  </si>
  <si>
    <t>Директор фінансовий</t>
  </si>
  <si>
    <t>Р.В. Стройний</t>
  </si>
  <si>
    <t>B-10 T-2</t>
  </si>
  <si>
    <t>5</t>
  </si>
  <si>
    <t>№ з/п</t>
  </si>
  <si>
    <t>Цільові програми</t>
  </si>
  <si>
    <t>у т.ч. по роках:</t>
  </si>
  <si>
    <t>%</t>
  </si>
  <si>
    <t>І</t>
  </si>
  <si>
    <t>Впровадження та розвиток інформаційних технологій</t>
  </si>
  <si>
    <t>Інше</t>
  </si>
  <si>
    <t>Разом</t>
  </si>
  <si>
    <t>Складові цільової програми</t>
  </si>
  <si>
    <t>ТС 0,4 кВ</t>
  </si>
  <si>
    <t>ТС, ТН 6(10)-150 кВ</t>
  </si>
  <si>
    <t>сільським</t>
  </si>
  <si>
    <t>міським</t>
  </si>
  <si>
    <t>зниження ТВЕ</t>
  </si>
  <si>
    <t>Придбання обладнання, що не вимагає монтажу</t>
  </si>
  <si>
    <t>кількість</t>
  </si>
  <si>
    <t>І квартал</t>
  </si>
  <si>
    <t>ІІ квартал</t>
  </si>
  <si>
    <t>ІІІ квартал</t>
  </si>
  <si>
    <t>Одиниця виміру</t>
  </si>
  <si>
    <t>Джерело фінансування</t>
  </si>
  <si>
    <t>110 кВ</t>
  </si>
  <si>
    <t>км</t>
  </si>
  <si>
    <t>3.2.1</t>
  </si>
  <si>
    <t>Найменування заходів інвестиційної програми</t>
  </si>
  <si>
    <t>У т. ч. по кварталах</t>
  </si>
  <si>
    <t>Усього по програмі</t>
  </si>
  <si>
    <t>1.3.3</t>
  </si>
  <si>
    <t>1.2.1</t>
  </si>
  <si>
    <t>1.2.3</t>
  </si>
  <si>
    <t>1.2.4</t>
  </si>
  <si>
    <t>Модернізація ПС, ТП та РП, усього з них:</t>
  </si>
  <si>
    <t>1.5.1</t>
  </si>
  <si>
    <t>1.5.2</t>
  </si>
  <si>
    <t>Придбання та впровадження засобів диспетчерсько-технологічного керування замість морально і фізично зношених та для розширення наявних, у т.ч.:</t>
  </si>
  <si>
    <t>Системи зв'язку, у т.ч.:</t>
  </si>
  <si>
    <t>9=4-5</t>
  </si>
  <si>
    <t>Капіталовкладення на передачу електричної енергії</t>
  </si>
  <si>
    <t>базовий період</t>
  </si>
  <si>
    <t>прогнозний період</t>
  </si>
  <si>
    <t>Капіталовкладення на постачання електричної енергії</t>
  </si>
  <si>
    <t>__________</t>
  </si>
  <si>
    <t>КЛ-0,4 кВ, усього</t>
  </si>
  <si>
    <t>напругою 220 кВ</t>
  </si>
  <si>
    <t>Кількість точок обліку всього, шт.</t>
  </si>
  <si>
    <t>Кількість  безоблікових точок обліку, шт.</t>
  </si>
  <si>
    <t xml:space="preserve">                  Кількість установлених лічильників, шт.</t>
  </si>
  <si>
    <t>у тому числі:</t>
  </si>
  <si>
    <t>ліцензіата</t>
  </si>
  <si>
    <t>з простроче-
ним терміном повірки</t>
  </si>
  <si>
    <t>Таблиця 4.2.1.1</t>
  </si>
  <si>
    <t>Таблиця 4.2.1.2</t>
  </si>
  <si>
    <t>4.2. Інформація щодо лічильників електричної енергії на початок прогнозного періоду</t>
  </si>
  <si>
    <t>Строк експлуатації                                               (у роках)</t>
  </si>
  <si>
    <t>Таблиця 4.2.1.3</t>
  </si>
  <si>
    <t>Таблиця 4.2.1.4</t>
  </si>
  <si>
    <t>продовження Таблиці 4.2.1.1</t>
  </si>
  <si>
    <t>продовження Таблиці 4.2.1.2</t>
  </si>
  <si>
    <t>продовження Таблиці 4.2.1.3</t>
  </si>
  <si>
    <t>продовження Таблиці 4.2.1.4</t>
  </si>
  <si>
    <t>4.2.1. Стан обліку електричної енергії у промислових споживачів на початок прогнозного періоду</t>
  </si>
  <si>
    <t>Тип приладу обліку (повне маркування)</t>
  </si>
  <si>
    <t>Виробник приладу обліку</t>
  </si>
  <si>
    <t>Рівень напруги ЛЕП, кВ</t>
  </si>
  <si>
    <t xml:space="preserve">4.2.2. Стан обліку електричної енергії у промислових споживачів </t>
  </si>
  <si>
    <t>Лічильники із строком експлуатації</t>
  </si>
  <si>
    <t>Наявний стан на початок прогнозного періоду</t>
  </si>
  <si>
    <t xml:space="preserve">4.2.3. Стан обліку електричної енергії у населення на початок прогнозного періоду </t>
  </si>
  <si>
    <t>Кількість точок обліку у сільській місцевості</t>
  </si>
  <si>
    <t>Кількість точок обліку у містах</t>
  </si>
  <si>
    <t>клас точності гірше 2,0</t>
  </si>
  <si>
    <t>клас точності  2,0 та краще</t>
  </si>
  <si>
    <t xml:space="preserve">4.2.4. Стан обліку електричної енергії у населення </t>
  </si>
  <si>
    <t>Бензопила Husgvarna-545</t>
  </si>
  <si>
    <t>Будівництво нових ЛЕП (КЛ, ПЛ), усього, з них:</t>
  </si>
  <si>
    <t>Затверджена кошторисна вартість  тис.грн (без ПДВ)</t>
  </si>
  <si>
    <t>2019 рік</t>
  </si>
  <si>
    <t>Обсяги запланованих робіт на 2015 рік</t>
  </si>
  <si>
    <t>Прогнозований технічний стан на 01.01.2015 року</t>
  </si>
  <si>
    <t xml:space="preserve">Очікується станом на 01.01.2015 року </t>
  </si>
  <si>
    <t>Очікується станом на 31.12.2015 року з урахуванням інвестиційної програми</t>
  </si>
  <si>
    <t>Фактично 
замінено у 2014 році, шт.</t>
  </si>
  <si>
    <t>Кількість лічильників, 
що підлягають заміні за планом у 2015 році, шт.</t>
  </si>
  <si>
    <t>АЗЛК-2141</t>
  </si>
  <si>
    <t>СВЕМ, сл. РЗА</t>
  </si>
  <si>
    <t>СВЕМ, сл. ПС</t>
  </si>
  <si>
    <t>СВЕМ, сл. ВВЛ</t>
  </si>
  <si>
    <t>СВЕМ, сл. ИЗП</t>
  </si>
  <si>
    <t>СВЕМ, сл. РЗА, ПС, ВВЛ</t>
  </si>
  <si>
    <t>СВЕМ, сл. ВВЛ, ПС</t>
  </si>
  <si>
    <t>СВЕМ, сл. СМиТ</t>
  </si>
  <si>
    <t>СВЕМ, сл. ПС, ВВЛ</t>
  </si>
  <si>
    <t>СВЕМ, сл. РЗА, ИЗП, ПС</t>
  </si>
  <si>
    <t>СВЕМ, гл.инженер</t>
  </si>
  <si>
    <t>СВЕМ, директор</t>
  </si>
  <si>
    <t>СВЕМ, зам. директора по ОВ</t>
  </si>
  <si>
    <t>СВЕМ, СМиТ</t>
  </si>
  <si>
    <t>Ріпки РЕМ</t>
  </si>
  <si>
    <t>Комп'ютери 2014 року випуску</t>
  </si>
  <si>
    <t>Прогнозований технічний стан на 31.12.2015 року з врахуванням обсягів запланованих робіт</t>
  </si>
  <si>
    <t>4.3.6.1</t>
  </si>
  <si>
    <t>Придбання ліцензії SAP R3</t>
  </si>
  <si>
    <t>Впровадження кол-центру</t>
  </si>
  <si>
    <t>Модернізація ПС 110/35/10 "Куликівка" в смт.Куликівка Чернігівської області 1 черга</t>
  </si>
  <si>
    <t xml:space="preserve">Усього на 2015 - 2019 рр. </t>
  </si>
  <si>
    <t>Усього на 2015- 2019 рр.          (без ПДВ)</t>
  </si>
  <si>
    <t>Усього на 2015 - 2019 рр.              (без ПДВ)</t>
  </si>
  <si>
    <t>Усього на 2015 - 2019 рр.             (без ПДВ)</t>
  </si>
  <si>
    <t>Усього на 2015 - 2019 рр. (без ПДВ)</t>
  </si>
  <si>
    <t>амортизаційні відрахування</t>
  </si>
  <si>
    <t>інші доходи                        (реактивна ел.ен.)</t>
  </si>
  <si>
    <t>інші ТВЕ</t>
  </si>
  <si>
    <t>*</t>
  </si>
  <si>
    <t>АТС HiPath 3800</t>
  </si>
  <si>
    <t>АТС HiPath 3800 для Н.Сіверського РЕМ</t>
  </si>
  <si>
    <t>Модернізація ПС 110/35/10 кВ "Куликівка" в смт.Куликівка Чернігівської області 1 черга</t>
  </si>
  <si>
    <t>Переносне заземлення ПЗШ-750</t>
  </si>
  <si>
    <t>2.1.4.3</t>
  </si>
  <si>
    <t>2.1.4.4</t>
  </si>
  <si>
    <t>Трифазні багатотарифні лічильники ел.енергії з датчиком дії магн.поля 5(60) А, 1100 М</t>
  </si>
  <si>
    <t>Однофазні багатотарифні лічильники ел.енергії з реле управління навантаженням, 5-60 А</t>
  </si>
  <si>
    <t>Модуль процесора 560CMU05 R0002  1KGT012700R0002</t>
  </si>
  <si>
    <t>Флеш-карта Basic License 750 DP 1KGT201440R0001</t>
  </si>
  <si>
    <t>Стійка (корзина) 560MPR03 R0001 1KGT022100R0001</t>
  </si>
  <si>
    <t>Модуль живлення  560PSR00 R0001 1KGT026500R0001</t>
  </si>
  <si>
    <t>Модуль процесора 560CMU02 R0002 1KGT012600R0002</t>
  </si>
  <si>
    <t>Флеш-карта Basic License 250 DP 1KGT201443R0001</t>
  </si>
  <si>
    <t>Стійка (корзина) 560MPR01 R0001 1KGT012500R0001</t>
  </si>
  <si>
    <t>Модуль живлення  23VG23 R0001 1KGT005500R0001</t>
  </si>
  <si>
    <t>Модуль дискретних входів 23BЕ23 R5001 1KGT012100R5001</t>
  </si>
  <si>
    <t>Модуль дискретних виходів 23BA20 R5312 GSNE000700R5312</t>
  </si>
  <si>
    <t>Шинний модуль 560BCU04 R0003 1KGT022300R0003</t>
  </si>
  <si>
    <t>http://kremenchug.pol.olx.ua/obyavlenie/13-3macbook-super-tonkiy-2-yadra-novyy-v-ukraine-ID8m2pP.html#7439963ad8</t>
  </si>
  <si>
    <t>Бурильно-кранова машина БКМ-2М на базі ХТЗ 150К-09, або аналог</t>
  </si>
  <si>
    <t>тис.грн            без ПДВ</t>
  </si>
  <si>
    <t>тис.грн           без ПДВ</t>
  </si>
  <si>
    <t>тис.грн          без ПДВ</t>
  </si>
  <si>
    <t>Реконструкція  ЛЕП (КЛ, ПЛ), усього, з них:</t>
  </si>
  <si>
    <t>1.1.3.3</t>
  </si>
  <si>
    <t>Проектні роботи з модернізації та розширення АСКОЕ ЧнОЕ</t>
  </si>
  <si>
    <t>Кабель КПВЭО-ВП (200) 4х2х0,51 (S-FTP-cat. 5E)</t>
  </si>
  <si>
    <t>Мультиметр 560CVD03 R0055 1KGT028000R0055</t>
  </si>
  <si>
    <t>3.10</t>
  </si>
  <si>
    <t>АТС Н-Сіверський РЕМ</t>
  </si>
  <si>
    <t>АТС Коропського, Бобровицького, Варвинського, Сосницького РЕМ</t>
  </si>
  <si>
    <t>АТС  Талалаївка  РЕМ</t>
  </si>
  <si>
    <t>АТС Срібне РЕМ</t>
  </si>
  <si>
    <t>Маркувальний пристрій ProMark Т-800</t>
  </si>
  <si>
    <t>ХТЗ 150К-09</t>
  </si>
  <si>
    <t>БКМ-2М</t>
  </si>
  <si>
    <t>МФ 50.450</t>
  </si>
  <si>
    <t>автонавант.</t>
  </si>
  <si>
    <t>Автонавантажувач МФ 50.450, або аналог</t>
  </si>
  <si>
    <t>Автонавантажувач</t>
  </si>
  <si>
    <t>ст.93</t>
  </si>
  <si>
    <t>Модернізація ПС 110/35/10 кВ "Добрянка" в смт.Добрянка Чернігівської області 1 черга</t>
  </si>
  <si>
    <t>Модернізація ПС 35/10 кВ "Городська" в м. Ніжин Чернігівської області 1 черга</t>
  </si>
  <si>
    <t>1.1.5.2.1</t>
  </si>
  <si>
    <t>1970 р.</t>
  </si>
  <si>
    <t>1964 р.</t>
  </si>
  <si>
    <t>В.І.Ткач</t>
  </si>
  <si>
    <t xml:space="preserve">Т.в.о. Голови правління </t>
  </si>
  <si>
    <t>1.1.2.2.1</t>
  </si>
  <si>
    <t>Реконструкція ПЛ-35 кВ "Тиниця-Голінка" Бахмацький район, Чернігівська область</t>
  </si>
  <si>
    <t>7.5</t>
  </si>
  <si>
    <t xml:space="preserve">амортизаційні відрахування </t>
  </si>
  <si>
    <t>1969-1976 рр.</t>
  </si>
  <si>
    <t>Персональний комп'ютер з монітором</t>
  </si>
  <si>
    <t>2.1.1.2</t>
  </si>
  <si>
    <t>Придбання ліцензії з розширення АСКОЕ на 500 лічильників</t>
  </si>
  <si>
    <t>Проектні роботи по впровадженню геоінформаційної системи</t>
  </si>
  <si>
    <t>1.1.2.4.3</t>
  </si>
  <si>
    <t>1.1.2.4.4</t>
  </si>
  <si>
    <t>1.1.2.4.5</t>
  </si>
  <si>
    <t>Реконструкція КЛ 0,4 кВ  «ТП-251 - Стоматполіклініка» в м. Чернігів</t>
  </si>
  <si>
    <t>Реконструкція КЛ 0,4 кВ «ТП-379 - ж/б Котляревського,13 Л-1» в м. Чернігів</t>
  </si>
  <si>
    <t>1.1.5.1.2</t>
  </si>
  <si>
    <t>8.2.2</t>
  </si>
  <si>
    <t>1976 р.</t>
  </si>
  <si>
    <t>1.1.2.2.2</t>
  </si>
  <si>
    <t>Реконструкція ПЛ-35 кВ "Яблунівка-Сергіївка" Прилуцький р-н, Чернігівська область</t>
  </si>
  <si>
    <t>1.1.2.4.2</t>
  </si>
  <si>
    <t>Реконструкція ПЛ 0,4 кВ Л-1, Л-2  від КТП-154; Л-2,Л-3 від КТП-284; Л-2, Л-3 від КТП-287; Л-2 від КТП-285; Л-3 від ЗТП-155 в с. Х.Озеро, Борзнянського району, Чернігівської області</t>
  </si>
  <si>
    <t>Реконструкція КЛ 0,4 кВ  "ТП-389 - Бойлерна, Л-2", "ТП-389 - Санепідемстанція" в м. Чернігів</t>
  </si>
  <si>
    <t>Реконструкція КЛ 0,4 кВ   "ТП-238 - РОВД, Л-2", в м. Чернігів</t>
  </si>
  <si>
    <t>1.1.2.4.6</t>
  </si>
  <si>
    <t>амортизаційні відрахування 8476,44 / інші доходи                        (реактивна ел.ен.) 2614,35</t>
  </si>
  <si>
    <t>інші доходи                        (реактивна ел.ен.) 3641,47 / інші (ТВЕ) 727,28</t>
  </si>
  <si>
    <t>2.2.2</t>
  </si>
  <si>
    <t>40730</t>
  </si>
  <si>
    <t>40738</t>
  </si>
  <si>
    <t>1975 р.</t>
  </si>
  <si>
    <t>4.2.2.2</t>
  </si>
  <si>
    <t>1975-1987 рр.</t>
  </si>
  <si>
    <t>8.2.3</t>
  </si>
  <si>
    <t>8.2.4</t>
  </si>
  <si>
    <t>51045                     51039</t>
  </si>
  <si>
    <t>1979 р.</t>
  </si>
  <si>
    <r>
      <t xml:space="preserve">Площа території, на якій здійснюється ліцензована діяльність, км </t>
    </r>
    <r>
      <rPr>
        <vertAlign val="superscript"/>
        <sz val="11"/>
        <rFont val="Times New Roman"/>
        <family val="1"/>
      </rPr>
      <t>2</t>
    </r>
  </si>
  <si>
    <t>ст.92</t>
  </si>
  <si>
    <t>ст.113</t>
  </si>
  <si>
    <t>ГАЗ-53 ТВГ-15</t>
  </si>
  <si>
    <t>ГАЗ-3307 АП-17</t>
  </si>
  <si>
    <t>Автопідіймач АП-18-10 ( 5 місць), або аналог</t>
  </si>
  <si>
    <t>АП-18-10 (5 місць), або аналог</t>
  </si>
  <si>
    <t xml:space="preserve">впровадження  комерційного обліку 
  електричної енергії 
</t>
  </si>
  <si>
    <t>ст.117</t>
  </si>
  <si>
    <t>ст.118</t>
  </si>
  <si>
    <t>ст.13а, ст.25</t>
  </si>
  <si>
    <t>ст.17, ст.22, ст.25, ст.31, ст.33</t>
  </si>
  <si>
    <t>ст.15, ст.23, ст.25, ст.31, ст.33</t>
  </si>
  <si>
    <t>ст.8, ст.33</t>
  </si>
  <si>
    <t>ст.5а, ст.28-40</t>
  </si>
  <si>
    <t>ст.4а, ст.28-40</t>
  </si>
  <si>
    <t>ст.13, ст.28-40</t>
  </si>
  <si>
    <t>ст.51</t>
  </si>
  <si>
    <t>ст.48</t>
  </si>
  <si>
    <t>ст.54</t>
  </si>
  <si>
    <t>ст.55</t>
  </si>
  <si>
    <t>ст.59</t>
  </si>
  <si>
    <t>ст.33</t>
  </si>
  <si>
    <t>ст.61</t>
  </si>
  <si>
    <t>ст.62</t>
  </si>
  <si>
    <t>ст.63</t>
  </si>
  <si>
    <t>ст.66</t>
  </si>
  <si>
    <t>ст.68</t>
  </si>
  <si>
    <t>ст.71</t>
  </si>
  <si>
    <t>ст.73-75</t>
  </si>
  <si>
    <t>ст.76-77</t>
  </si>
  <si>
    <t>ст.79-80</t>
  </si>
  <si>
    <t>ст.82</t>
  </si>
  <si>
    <t>ст.83-88</t>
  </si>
  <si>
    <t>ст.89</t>
  </si>
  <si>
    <t>ст.90-128</t>
  </si>
  <si>
    <t>Наказ №212 від 11.06.2015 р.</t>
  </si>
  <si>
    <t xml:space="preserve">Реконструкція ПЛ-0,4 кВ Л-2  від КТП-157; Л-1, Л-2, Л-3 від КТП-159; Л-3 від КТП-160; Л-1 від КТП-162; Л-1, Л-2, Л-3 від КТП-163 в с. Велика Дорога, Ніжинського району, </t>
  </si>
  <si>
    <t>невикористані кошти 2014 року</t>
  </si>
  <si>
    <t>1.1.2.4.8.</t>
  </si>
  <si>
    <t>1.1.2.4.7.</t>
  </si>
  <si>
    <t>Реконструкція ПЛ-0,4 кВ Л-2 від КТП-371, Л-1 від КТП-745, Л-2 від КТП-327, Л-1 від КТП-397  в смт. Любеч, Ріпкинського району, Чернігівської області.</t>
  </si>
  <si>
    <t>1.1.2.4.9.</t>
  </si>
  <si>
    <t>1.1.2.4.10.</t>
  </si>
  <si>
    <t>Реконструкція ПЛ-0,4 кВ Л-1, Л-2 від КТП-43; Л-1, Л-2,Л-3 від КТП-63; Л-1, Л-2, Л-3, Л-4 від КТП-159 в смт.Ріпки, Ріпкинського району, Чернігівської області.</t>
  </si>
  <si>
    <t>Реконструкція ПЛ-0,4 кВ Л-1, Л-2, Л-3 від КТП-514; Л-1, Л-2, Л-3 від КТП-515 в с. Льгів, Чернігівського району, Чернігівської області</t>
  </si>
  <si>
    <t>Реконструкція ПС  110/10 кВ "М'ясокомбінат" в м.Прилуки Чернігівської області</t>
  </si>
  <si>
    <t>1.1.5.1.3</t>
  </si>
  <si>
    <t>Модернізація ПС 110/35/10 кВ  "Ічня"  м. Ічня,  Чернігівської області</t>
  </si>
  <si>
    <t>невикористані кошти    2014 року</t>
  </si>
  <si>
    <t>1..1.5.2.2</t>
  </si>
  <si>
    <t xml:space="preserve">Модернізація ПС 35/10 кВ "Пекурівка" в с.Пекурівка Городнянського району Чернігівської області </t>
  </si>
  <si>
    <t>Модернізація ПС-35/10 кВ "Варва"</t>
  </si>
  <si>
    <t>Модернізація ПС-35/10 кВ "Дмитрівка"</t>
  </si>
  <si>
    <t>Модернізація ПС-110/35/10 кВ "Добрянка"</t>
  </si>
  <si>
    <t>Модернізація ПС-110/35/10 кВ "Козелець"</t>
  </si>
  <si>
    <t>Модернізація ПС-110/35/10 кВ "Корюківка"</t>
  </si>
  <si>
    <t>Модернізація ПС-35/10 кВ "Лосинівка"</t>
  </si>
  <si>
    <t>Модернізація ПС-110/35/10 кВ "Куликівка"</t>
  </si>
  <si>
    <t>Модернізація ПС-35/10 кВ "Городська"</t>
  </si>
  <si>
    <t xml:space="preserve">Реконструкція ПЛ-35 кВ "Козелець-Савин " </t>
  </si>
  <si>
    <t xml:space="preserve">Реконструкція ПЛ-35 кВ "Остер-Савин " </t>
  </si>
  <si>
    <t>Проектні роботи по реконструкції та модернізації в мережах 0,4-10 кВ</t>
  </si>
  <si>
    <t>невикористані кошти 2014р.</t>
  </si>
  <si>
    <t>2.1.4.5</t>
  </si>
  <si>
    <t>1.1.4.1.1</t>
  </si>
  <si>
    <t>1.1.5.2.3</t>
  </si>
  <si>
    <t>Модернізація ПС 35/10 кВ "Сидорівка" в с. Сидорівка Борзнянського району, Чернігівська область</t>
  </si>
  <si>
    <t>Організація останньої милі Козелецький РЕМ</t>
  </si>
  <si>
    <t>Абонентська станція передачі даних MDS 4710 з монтажними та пусконалагоджувальними роботами</t>
  </si>
  <si>
    <t>4.3.7.3</t>
  </si>
  <si>
    <t>Проекти радіовежі Бобровиця РЕМ</t>
  </si>
  <si>
    <t>Проекти РРЛ Носівка РЕМ - Бобровиця РЕМ</t>
  </si>
  <si>
    <t xml:space="preserve">інші ТВЕ 1195,22 </t>
  </si>
  <si>
    <t xml:space="preserve">інші ТВЕ </t>
  </si>
  <si>
    <t>6.4</t>
  </si>
  <si>
    <t>6.5</t>
  </si>
  <si>
    <t>6.6</t>
  </si>
  <si>
    <t xml:space="preserve">Автомобіль АС U-39095-ВП 6, або аналог </t>
  </si>
  <si>
    <t>3.1.2.2.</t>
  </si>
  <si>
    <t>3.1.2.1.1.</t>
  </si>
  <si>
    <t>3.1.2.2.1</t>
  </si>
  <si>
    <t>3.1.2.2.2.</t>
  </si>
  <si>
    <t>3.1.2.2.3</t>
  </si>
  <si>
    <t>3.1.2.2.4.</t>
  </si>
  <si>
    <t>3.1.2.2.5</t>
  </si>
  <si>
    <t>3.1.2.2.6</t>
  </si>
  <si>
    <t>3.1.2.2.7</t>
  </si>
  <si>
    <t>3.1.2.2.8</t>
  </si>
  <si>
    <t>3.1.2.2.9.</t>
  </si>
  <si>
    <t>3.1.2.2.10</t>
  </si>
  <si>
    <t>3.1.2.2.11</t>
  </si>
  <si>
    <t>3.1.2.2.12</t>
  </si>
  <si>
    <t>Виробничо-побутова будівля майстра мережевої дфльниці Носівського РЕМ</t>
  </si>
  <si>
    <t>43.7.2</t>
  </si>
  <si>
    <t>Усього 1.1.4.1.</t>
  </si>
  <si>
    <t>Установлення та заміна каналоутворювального та комутаційного обладнання (зокрема АТС), у тому числі:</t>
  </si>
  <si>
    <t>4.2.2.3</t>
  </si>
  <si>
    <t>4.2.2.4</t>
  </si>
  <si>
    <t>4.2.2.5</t>
  </si>
  <si>
    <t>4.2.2.6</t>
  </si>
  <si>
    <t>9.3.3</t>
  </si>
  <si>
    <t>10.3.2</t>
  </si>
  <si>
    <t>10.3.3</t>
  </si>
  <si>
    <t>Наказ № 400 від 12.12.2013р.</t>
  </si>
  <si>
    <t>1967-1971 рр.</t>
  </si>
  <si>
    <t>1971-1984 рр.</t>
  </si>
  <si>
    <t>1976-1977 рр.</t>
  </si>
  <si>
    <t>1961-1984 рр.</t>
  </si>
  <si>
    <t xml:space="preserve">Наказ № 400 від 12.12.2013 р.                     </t>
  </si>
  <si>
    <t>1980 р.</t>
  </si>
  <si>
    <t>1989 р.</t>
  </si>
  <si>
    <t>Наказ № 266 від 29.07.2015 р.</t>
  </si>
  <si>
    <t>1962 р.</t>
  </si>
  <si>
    <t>об'экт</t>
  </si>
  <si>
    <t>528</t>
  </si>
  <si>
    <t>Проектні роботи</t>
  </si>
  <si>
    <t>1.2.5</t>
  </si>
  <si>
    <t>1.2.6</t>
  </si>
  <si>
    <t>1.2.7</t>
  </si>
  <si>
    <t>1.2.8</t>
  </si>
  <si>
    <t>1.2.9</t>
  </si>
  <si>
    <t>1.2.10</t>
  </si>
  <si>
    <t>1.2.11</t>
  </si>
  <si>
    <t>Невикористані кошти 2014</t>
  </si>
  <si>
    <t xml:space="preserve">Т.в.о. голови правління </t>
  </si>
  <si>
    <t>В.І. Ткач</t>
  </si>
  <si>
    <t>УАЗ-452</t>
  </si>
  <si>
    <t>УАЗ-22-06</t>
  </si>
  <si>
    <t>ГАЗ-390</t>
  </si>
  <si>
    <t xml:space="preserve"> 15.5</t>
  </si>
  <si>
    <t>Вантажо-пасажирський</t>
  </si>
  <si>
    <t>с. 96</t>
  </si>
  <si>
    <t>с.97</t>
  </si>
  <si>
    <t>с.98</t>
  </si>
  <si>
    <t>с.102</t>
  </si>
  <si>
    <t>ст.103-104</t>
  </si>
  <si>
    <t>с.105</t>
  </si>
  <si>
    <t>с.106</t>
  </si>
  <si>
    <t>с.107</t>
  </si>
  <si>
    <t>ст.110</t>
  </si>
  <si>
    <t>с.117</t>
  </si>
  <si>
    <t>ст.119</t>
  </si>
  <si>
    <t>ст.121</t>
  </si>
  <si>
    <t>ст.122</t>
  </si>
  <si>
    <t>ст.123</t>
  </si>
  <si>
    <t>ст.131</t>
  </si>
  <si>
    <t>ст.133</t>
  </si>
  <si>
    <t>ст.137</t>
  </si>
  <si>
    <t>Об'єкт розрахований в цінах 2015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</si>
</sst>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_ ;[Red]\-#,##0.000\ "/>
    <numFmt numFmtId="190" formatCode="#,##0_ ;[Red]\-#,##0\ "/>
    <numFmt numFmtId="191" formatCode="#,##0.0_ ;[Red]\-#,##0.0\ "/>
    <numFmt numFmtId="192" formatCode="#,##0.0000_ ;[Red]\-#,##0.0000\ "/>
    <numFmt numFmtId="193" formatCode="0.000"/>
    <numFmt numFmtId="194" formatCode="0.0"/>
    <numFmt numFmtId="195" formatCode="0.0%"/>
    <numFmt numFmtId="196" formatCode="0.0000"/>
    <numFmt numFmtId="197" formatCode="0.00000"/>
    <numFmt numFmtId="198" formatCode="0.000000"/>
    <numFmt numFmtId="199" formatCode="#,##0.00_ ;[Red]\-#,##0.00\ "/>
    <numFmt numFmtId="200" formatCode="#,##0.000"/>
    <numFmt numFmtId="201" formatCode="#,##0;[Red]#,##0"/>
    <numFmt numFmtId="202" formatCode="#,##0.0000"/>
    <numFmt numFmtId="203" formatCode="#,##0.00000"/>
    <numFmt numFmtId="204" formatCode="#,##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FC19]d\ mmmm\ yyyy\ &quot;г.&quot;"/>
    <numFmt numFmtId="210" formatCode="0.0000000"/>
    <numFmt numFmtId="211" formatCode="0_ ;[Red]\-0\ "/>
  </numFmts>
  <fonts count="75">
    <font>
      <sz val="10"/>
      <name val="Arial Cyr"/>
      <family val="0"/>
    </font>
    <font>
      <sz val="8"/>
      <name val="Arial Cyr"/>
      <family val="0"/>
    </font>
    <font>
      <u val="single"/>
      <sz val="10"/>
      <color indexed="12"/>
      <name val="Arial Cyr"/>
      <family val="0"/>
    </font>
    <font>
      <u val="single"/>
      <sz val="10"/>
      <color indexed="36"/>
      <name val="Arial Cyr"/>
      <family val="0"/>
    </font>
    <font>
      <sz val="10"/>
      <name val="Arial"/>
      <family val="2"/>
    </font>
    <font>
      <b/>
      <sz val="10"/>
      <name val="Arial Cyr"/>
      <family val="0"/>
    </font>
    <font>
      <b/>
      <sz val="12"/>
      <name val="Arial Cyr"/>
      <family val="0"/>
    </font>
    <font>
      <b/>
      <sz val="10"/>
      <name val="Arial"/>
      <family val="2"/>
    </font>
    <font>
      <i/>
      <sz val="12"/>
      <name val="Times New Roman"/>
      <family val="1"/>
    </font>
    <font>
      <sz val="10"/>
      <name val="PragmaticaCTT"/>
      <family val="0"/>
    </font>
    <font>
      <sz val="10"/>
      <name val="Helv"/>
      <family val="0"/>
    </font>
    <font>
      <b/>
      <sz val="11"/>
      <name val="Arial"/>
      <family val="2"/>
    </font>
    <font>
      <sz val="10"/>
      <color indexed="8"/>
      <name val="Arial"/>
      <family val="2"/>
    </font>
    <font>
      <sz val="10"/>
      <name val="Times New Roman"/>
      <family val="1"/>
    </font>
    <font>
      <b/>
      <sz val="8"/>
      <name val="Tahoma"/>
      <family val="2"/>
    </font>
    <font>
      <sz val="8"/>
      <name val="Tahoma"/>
      <family val="2"/>
    </font>
    <font>
      <sz val="11"/>
      <name val="Arial"/>
      <family val="2"/>
    </font>
    <font>
      <sz val="12"/>
      <name val="Arial"/>
      <family val="2"/>
    </font>
    <font>
      <sz val="12"/>
      <name val="Times New Roman"/>
      <family val="1"/>
    </font>
    <font>
      <sz val="10"/>
      <name val="Arial CE"/>
      <family val="0"/>
    </font>
    <font>
      <sz val="11"/>
      <color indexed="63"/>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Cyr"/>
      <family val="1"/>
    </font>
    <font>
      <sz val="11"/>
      <name val="Times New Roman Cyr"/>
      <family val="1"/>
    </font>
    <font>
      <sz val="11"/>
      <color indexed="8"/>
      <name val="Times New Roman"/>
      <family val="1"/>
    </font>
    <font>
      <u val="single"/>
      <sz val="11"/>
      <name val="Arial"/>
      <family val="2"/>
    </font>
    <font>
      <sz val="11"/>
      <name val="Arial Cyr"/>
      <family val="0"/>
    </font>
    <font>
      <sz val="11"/>
      <name val="PragmaticaCTT"/>
      <family val="0"/>
    </font>
    <font>
      <sz val="10"/>
      <color indexed="9"/>
      <name val="Arial Cyr"/>
      <family val="0"/>
    </font>
    <font>
      <sz val="11"/>
      <name val="Helv"/>
      <family val="0"/>
    </font>
    <font>
      <b/>
      <sz val="9"/>
      <name val="Tahoma"/>
      <family val="2"/>
    </font>
    <font>
      <sz val="9"/>
      <name val="Tahoma"/>
      <family val="2"/>
    </font>
    <font>
      <sz val="14"/>
      <name val="Arial"/>
      <family val="2"/>
    </font>
    <font>
      <sz val="14"/>
      <color indexed="8"/>
      <name val="Times New Roman"/>
      <family val="1"/>
    </font>
    <font>
      <sz val="11"/>
      <color indexed="8"/>
      <name val="Calibri"/>
      <family val="2"/>
    </font>
    <font>
      <b/>
      <sz val="12"/>
      <name val="Times New Roman"/>
      <family val="1"/>
    </font>
    <font>
      <u val="single"/>
      <sz val="12"/>
      <name val="Times New Roman"/>
      <family val="1"/>
    </font>
    <font>
      <b/>
      <i/>
      <sz val="12"/>
      <name val="Times New Roman"/>
      <family val="1"/>
    </font>
    <font>
      <b/>
      <sz val="12"/>
      <color indexed="8"/>
      <name val="Times New Roman"/>
      <family val="1"/>
    </font>
    <font>
      <sz val="11"/>
      <name val="Times New Roman"/>
      <family val="1"/>
    </font>
    <font>
      <b/>
      <sz val="10"/>
      <name val="Times New Roman"/>
      <family val="1"/>
    </font>
    <font>
      <b/>
      <sz val="14"/>
      <name val="Times New Roman"/>
      <family val="1"/>
    </font>
    <font>
      <b/>
      <sz val="11"/>
      <name val="Times New Roman"/>
      <family val="1"/>
    </font>
    <font>
      <u val="single"/>
      <sz val="11"/>
      <name val="Times New Roman"/>
      <family val="1"/>
    </font>
    <font>
      <b/>
      <sz val="11"/>
      <color indexed="10"/>
      <name val="Times New Roman"/>
      <family val="1"/>
    </font>
    <font>
      <sz val="11"/>
      <color indexed="10"/>
      <name val="Times New Roman"/>
      <family val="1"/>
    </font>
    <font>
      <u val="single"/>
      <sz val="11"/>
      <color indexed="10"/>
      <name val="Times New Roman"/>
      <family val="1"/>
    </font>
    <font>
      <b/>
      <i/>
      <sz val="10"/>
      <name val="Times New Roman"/>
      <family val="1"/>
    </font>
    <font>
      <i/>
      <sz val="10"/>
      <name val="Times New Roman"/>
      <family val="1"/>
    </font>
    <font>
      <sz val="10"/>
      <color indexed="8"/>
      <name val="Times New Roman"/>
      <family val="1"/>
    </font>
    <font>
      <b/>
      <sz val="10"/>
      <color indexed="8"/>
      <name val="Times New Roman"/>
      <family val="1"/>
    </font>
    <font>
      <b/>
      <i/>
      <sz val="10"/>
      <color indexed="12"/>
      <name val="Times New Roman"/>
      <family val="1"/>
    </font>
    <font>
      <sz val="14"/>
      <name val="Times New Roman"/>
      <family val="1"/>
    </font>
    <font>
      <sz val="13"/>
      <color indexed="8"/>
      <name val="Times New Roman"/>
      <family val="1"/>
    </font>
    <font>
      <vertAlign val="superscript"/>
      <sz val="11"/>
      <name val="Times New Roman"/>
      <family val="1"/>
    </font>
    <font>
      <b/>
      <sz val="11"/>
      <color indexed="8"/>
      <name val="Times New Roman"/>
      <family val="1"/>
    </font>
    <font>
      <u val="single"/>
      <sz val="10"/>
      <name val="Times New Roman"/>
      <family val="1"/>
    </font>
    <font>
      <sz val="11"/>
      <color indexed="29"/>
      <name val="Times New Roman"/>
      <family val="1"/>
    </font>
    <font>
      <sz val="11"/>
      <color theme="1"/>
      <name val="Calibri"/>
      <family val="2"/>
    </font>
    <font>
      <sz val="11"/>
      <color rgb="FFFF0000"/>
      <name val="Times New Roman"/>
      <family val="1"/>
    </font>
    <font>
      <b/>
      <sz val="8"/>
      <name val="Arial Cyr"/>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40"/>
        <bgColor indexed="64"/>
      </patternFill>
    </fill>
    <fill>
      <patternFill patternType="solid">
        <fgColor indexed="51"/>
        <bgColor indexed="64"/>
      </patternFill>
    </fill>
    <fill>
      <patternFill patternType="solid">
        <fgColor theme="0"/>
        <bgColor indexed="64"/>
      </patternFill>
    </fill>
    <fill>
      <patternFill patternType="solid">
        <fgColor theme="7" tint="0.39998000860214233"/>
        <bgColor indexed="64"/>
      </patternFill>
    </fill>
    <fill>
      <patternFill patternType="solid">
        <fgColor indexed="41"/>
        <bgColor indexed="64"/>
      </patternFill>
    </fill>
    <fill>
      <patternFill patternType="solid">
        <fgColor indexed="50"/>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style="medium"/>
      <top style="thin"/>
      <bottom style="thin"/>
    </border>
    <border>
      <left style="medium"/>
      <right style="medium"/>
      <top>
        <color indexed="63"/>
      </top>
      <bottom>
        <color indexed="63"/>
      </bottom>
    </border>
    <border>
      <left style="medium"/>
      <right style="thin"/>
      <top style="thin"/>
      <bottom style="thin"/>
    </border>
    <border>
      <left style="medium"/>
      <right style="medium"/>
      <top style="thin"/>
      <bottom style="thin"/>
    </border>
    <border>
      <left>
        <color indexed="63"/>
      </left>
      <right style="medium"/>
      <top>
        <color indexed="63"/>
      </top>
      <bottom>
        <color indexed="63"/>
      </bottom>
    </border>
    <border>
      <left>
        <color indexed="63"/>
      </left>
      <right style="medium"/>
      <top style="thin"/>
      <bottom style="thin"/>
    </border>
    <border>
      <left style="medium"/>
      <right style="medium"/>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medium"/>
      <bottom style="medium"/>
    </border>
    <border>
      <left style="medium"/>
      <right style="thin"/>
      <top style="medium"/>
      <bottom style="thin"/>
    </border>
    <border>
      <left style="medium"/>
      <right style="thin"/>
      <top>
        <color indexed="63"/>
      </top>
      <bottom>
        <color indexed="63"/>
      </bottom>
    </border>
    <border>
      <left>
        <color indexed="63"/>
      </left>
      <right style="thin"/>
      <top style="thin"/>
      <bottom style="medium"/>
    </border>
    <border>
      <left>
        <color indexed="63"/>
      </left>
      <right style="medium"/>
      <top style="thin"/>
      <bottom>
        <color indexed="63"/>
      </bottom>
    </border>
    <border>
      <left style="medium"/>
      <right style="thin"/>
      <top style="medium"/>
      <bottom>
        <color indexed="63"/>
      </bottom>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color indexed="63"/>
      </top>
      <bottom style="medium"/>
    </border>
    <border>
      <left style="medium"/>
      <right style="medium"/>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thin"/>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medium"/>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style="medium"/>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thin"/>
      <bottom style="medium"/>
    </border>
    <border>
      <left style="thin"/>
      <right>
        <color indexed="63"/>
      </right>
      <top>
        <color indexed="63"/>
      </top>
      <bottom style="medium"/>
    </border>
    <border>
      <left style="thin"/>
      <right>
        <color indexed="63"/>
      </right>
      <top style="medium"/>
      <bottom style="medium"/>
    </border>
    <border>
      <left style="thin"/>
      <right>
        <color indexed="63"/>
      </right>
      <top style="medium"/>
      <bottom style="thin"/>
    </border>
    <border>
      <left style="thin"/>
      <right>
        <color indexed="63"/>
      </right>
      <top style="medium"/>
      <bottom>
        <color indexed="63"/>
      </bottom>
    </border>
    <border>
      <left>
        <color indexed="63"/>
      </left>
      <right style="medium"/>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2" fillId="3" borderId="1" applyNumberFormat="0" applyAlignment="0" applyProtection="0"/>
    <xf numFmtId="0" fontId="23" fillId="2" borderId="2" applyNumberFormat="0" applyAlignment="0" applyProtection="0"/>
    <xf numFmtId="0" fontId="24" fillId="2"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3" fillId="0" borderId="6" applyNumberFormat="0" applyFill="0" applyAlignment="0" applyProtection="0"/>
    <xf numFmtId="0" fontId="28" fillId="15" borderId="7" applyNumberFormat="0" applyAlignment="0" applyProtection="0"/>
    <xf numFmtId="0" fontId="29" fillId="0" borderId="0" applyNumberFormat="0" applyFill="0" applyBorder="0" applyAlignment="0" applyProtection="0"/>
    <xf numFmtId="0" fontId="30" fillId="8" borderId="0" applyNumberFormat="0" applyBorder="0" applyAlignment="0" applyProtection="0"/>
    <xf numFmtId="0" fontId="0" fillId="0" borderId="0">
      <alignment/>
      <protection/>
    </xf>
    <xf numFmtId="0" fontId="72" fillId="0" borderId="0">
      <alignment/>
      <protection/>
    </xf>
    <xf numFmtId="0" fontId="9" fillId="0" borderId="0">
      <alignment/>
      <protection/>
    </xf>
    <xf numFmtId="0" fontId="9" fillId="0" borderId="0">
      <alignment/>
      <protection/>
    </xf>
    <xf numFmtId="0" fontId="9" fillId="0" borderId="0">
      <alignment/>
      <protection/>
    </xf>
    <xf numFmtId="0" fontId="1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1" fillId="16"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48" fillId="0" borderId="0" applyFont="0" applyFill="0" applyBorder="0" applyAlignment="0" applyProtection="0"/>
    <xf numFmtId="0" fontId="33" fillId="0" borderId="9" applyNumberFormat="0" applyFill="0" applyAlignment="0" applyProtection="0"/>
    <xf numFmtId="0" fontId="10" fillId="0" borderId="0">
      <alignment/>
      <protection/>
    </xf>
    <xf numFmtId="0" fontId="3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5" fillId="17" borderId="0" applyNumberFormat="0" applyBorder="0" applyAlignment="0" applyProtection="0"/>
  </cellStyleXfs>
  <cellXfs count="1722">
    <xf numFmtId="0" fontId="0" fillId="0" borderId="0" xfId="0" applyAlignment="1">
      <alignment/>
    </xf>
    <xf numFmtId="0" fontId="0" fillId="0" borderId="0" xfId="35" applyFont="1" applyBorder="1" applyProtection="1">
      <alignment/>
      <protection/>
    </xf>
    <xf numFmtId="0" fontId="0" fillId="0" borderId="0" xfId="35" applyFont="1" applyBorder="1" applyAlignment="1" applyProtection="1">
      <alignment vertical="top"/>
      <protection/>
    </xf>
    <xf numFmtId="0" fontId="0" fillId="0" borderId="0" xfId="35" applyFont="1" applyProtection="1">
      <alignment/>
      <protection/>
    </xf>
    <xf numFmtId="0" fontId="0" fillId="0" borderId="0" xfId="35" applyFont="1" applyAlignment="1" applyProtection="1">
      <alignment horizontal="center" vertical="center" wrapText="1"/>
      <protection locked="0"/>
    </xf>
    <xf numFmtId="0" fontId="0" fillId="0" borderId="0" xfId="35" applyFont="1" applyBorder="1" applyAlignment="1" applyProtection="1">
      <alignment horizontal="center" vertical="center" wrapText="1"/>
      <protection locked="0"/>
    </xf>
    <xf numFmtId="0" fontId="0" fillId="0" borderId="0" xfId="35" applyFont="1" applyFill="1" applyAlignment="1" applyProtection="1">
      <alignment horizontal="center" vertical="center" wrapText="1"/>
      <protection locked="0"/>
    </xf>
    <xf numFmtId="0" fontId="0" fillId="0" borderId="0" xfId="35" applyFont="1" applyAlignment="1" applyProtection="1">
      <alignment horizontal="center" vertical="center" wrapText="1"/>
      <protection/>
    </xf>
    <xf numFmtId="0" fontId="0" fillId="0" borderId="0" xfId="35" applyFont="1" applyBorder="1" applyAlignment="1" applyProtection="1">
      <alignment horizontal="center" vertical="center" wrapText="1"/>
      <protection/>
    </xf>
    <xf numFmtId="2" fontId="0" fillId="0" borderId="0" xfId="35" applyNumberFormat="1" applyFont="1" applyBorder="1" applyProtection="1">
      <alignment/>
      <protection/>
    </xf>
    <xf numFmtId="0" fontId="0" fillId="0" borderId="0" xfId="35" applyFont="1" applyProtection="1">
      <alignment/>
      <protection/>
    </xf>
    <xf numFmtId="0" fontId="0" fillId="0" borderId="0" xfId="35" applyFont="1" applyFill="1" applyProtection="1">
      <alignment/>
      <protection/>
    </xf>
    <xf numFmtId="0" fontId="0" fillId="0" borderId="0" xfId="35" applyFont="1" applyFill="1" applyBorder="1" applyAlignment="1" applyProtection="1">
      <alignment horizontal="center" wrapText="1"/>
      <protection/>
    </xf>
    <xf numFmtId="0" fontId="9" fillId="0" borderId="0" xfId="35" applyFont="1">
      <alignment/>
      <protection/>
    </xf>
    <xf numFmtId="0" fontId="4" fillId="0" borderId="0" xfId="35" applyFont="1">
      <alignment/>
      <protection/>
    </xf>
    <xf numFmtId="0" fontId="4" fillId="0" borderId="0" xfId="35" applyFont="1" applyFill="1">
      <alignment/>
      <protection/>
    </xf>
    <xf numFmtId="1" fontId="0" fillId="0" borderId="0" xfId="35" applyNumberFormat="1" applyFont="1" applyFill="1" applyBorder="1" applyAlignment="1" applyProtection="1">
      <alignment horizontal="center" vertical="center" wrapText="1"/>
      <protection locked="0"/>
    </xf>
    <xf numFmtId="0" fontId="4" fillId="0" borderId="0" xfId="35" applyFont="1" applyAlignment="1">
      <alignment wrapText="1"/>
      <protection/>
    </xf>
    <xf numFmtId="0" fontId="10" fillId="0" borderId="0" xfId="35" applyFont="1">
      <alignment/>
      <protection/>
    </xf>
    <xf numFmtId="2" fontId="18" fillId="0" borderId="0" xfId="35" applyNumberFormat="1" applyFont="1" applyFill="1" applyBorder="1" applyAlignment="1" applyProtection="1">
      <alignment horizontal="center" vertical="center"/>
      <protection hidden="1"/>
    </xf>
    <xf numFmtId="193" fontId="18" fillId="0" borderId="0" xfId="35" applyNumberFormat="1" applyFont="1" applyFill="1" applyBorder="1" applyAlignment="1" applyProtection="1">
      <alignment horizontal="center" vertical="center"/>
      <protection hidden="1"/>
    </xf>
    <xf numFmtId="0" fontId="18" fillId="0" borderId="0" xfId="35" applyFont="1" applyFill="1" applyBorder="1" applyAlignment="1">
      <alignment vertical="center"/>
      <protection/>
    </xf>
    <xf numFmtId="0" fontId="18" fillId="0" borderId="0" xfId="35" applyFont="1" applyFill="1" applyBorder="1" applyAlignment="1">
      <alignment horizontal="center"/>
      <protection/>
    </xf>
    <xf numFmtId="0" fontId="18" fillId="0" borderId="0" xfId="35" applyFont="1" applyFill="1" applyBorder="1">
      <alignment/>
      <protection/>
    </xf>
    <xf numFmtId="0" fontId="18" fillId="0" borderId="0" xfId="35" applyFont="1" applyAlignment="1">
      <alignment horizontal="center" vertical="center" wrapText="1"/>
      <protection/>
    </xf>
    <xf numFmtId="0" fontId="17" fillId="0" borderId="0" xfId="35" applyFont="1" applyFill="1" applyBorder="1">
      <alignment/>
      <protection/>
    </xf>
    <xf numFmtId="0" fontId="0" fillId="0" borderId="0" xfId="35" applyFont="1" applyAlignment="1" applyProtection="1">
      <alignment vertical="center"/>
      <protection/>
    </xf>
    <xf numFmtId="0" fontId="0" fillId="0" borderId="0" xfId="35" applyFont="1" applyProtection="1">
      <alignment/>
      <protection/>
    </xf>
    <xf numFmtId="0" fontId="4" fillId="0" borderId="0" xfId="35" applyFont="1" applyProtection="1">
      <alignment/>
      <protection/>
    </xf>
    <xf numFmtId="0" fontId="0" fillId="0" borderId="0" xfId="65" applyFont="1" applyAlignment="1" applyProtection="1">
      <alignment horizontal="center" vertical="center"/>
      <protection/>
    </xf>
    <xf numFmtId="2" fontId="0" fillId="0" borderId="0" xfId="35" applyNumberFormat="1" applyFont="1" applyProtection="1">
      <alignment/>
      <protection/>
    </xf>
    <xf numFmtId="4" fontId="0" fillId="0" borderId="0" xfId="35" applyNumberFormat="1" applyFont="1" applyProtection="1">
      <alignment/>
      <protection/>
    </xf>
    <xf numFmtId="200" fontId="4" fillId="0" borderId="0" xfId="35" applyNumberFormat="1" applyFont="1" applyFill="1" applyBorder="1" applyProtection="1">
      <alignment/>
      <protection/>
    </xf>
    <xf numFmtId="4" fontId="4" fillId="0" borderId="0" xfId="35" applyNumberFormat="1" applyFont="1" applyFill="1" applyBorder="1" applyProtection="1">
      <alignment/>
      <protection/>
    </xf>
    <xf numFmtId="3" fontId="4" fillId="0" borderId="0" xfId="64" applyNumberFormat="1" applyFont="1">
      <alignment/>
      <protection/>
    </xf>
    <xf numFmtId="3" fontId="7" fillId="0" borderId="0" xfId="64" applyNumberFormat="1" applyFont="1">
      <alignment/>
      <protection/>
    </xf>
    <xf numFmtId="3" fontId="4" fillId="0" borderId="0" xfId="64" applyNumberFormat="1" applyFont="1" applyBorder="1">
      <alignment/>
      <protection/>
    </xf>
    <xf numFmtId="3" fontId="4" fillId="0" borderId="0" xfId="64" applyNumberFormat="1" applyFont="1" applyFill="1">
      <alignment/>
      <protection/>
    </xf>
    <xf numFmtId="3" fontId="7" fillId="0" borderId="0" xfId="64" applyNumberFormat="1" applyFont="1" applyBorder="1">
      <alignment/>
      <protection/>
    </xf>
    <xf numFmtId="188" fontId="4" fillId="0" borderId="0" xfId="64" applyNumberFormat="1" applyFont="1">
      <alignment/>
      <protection/>
    </xf>
    <xf numFmtId="4" fontId="4" fillId="0" borderId="0" xfId="64" applyNumberFormat="1" applyFont="1">
      <alignment/>
      <protection/>
    </xf>
    <xf numFmtId="0" fontId="0" fillId="0" borderId="0" xfId="68" applyFont="1">
      <alignment/>
      <protection/>
    </xf>
    <xf numFmtId="0" fontId="36" fillId="0" borderId="0" xfId="68" applyFont="1">
      <alignment/>
      <protection/>
    </xf>
    <xf numFmtId="0" fontId="37" fillId="0" borderId="0" xfId="68" applyFont="1">
      <alignment/>
      <protection/>
    </xf>
    <xf numFmtId="0" fontId="4" fillId="0" borderId="0" xfId="68" applyFont="1" applyAlignment="1">
      <alignment vertical="center" wrapText="1"/>
      <protection/>
    </xf>
    <xf numFmtId="0" fontId="4" fillId="0" borderId="0" xfId="68" applyFont="1" applyAlignment="1">
      <alignment horizontal="center" vertical="center" wrapText="1"/>
      <protection/>
    </xf>
    <xf numFmtId="0" fontId="9" fillId="0" borderId="0" xfId="68">
      <alignment/>
      <protection/>
    </xf>
    <xf numFmtId="49" fontId="9" fillId="0" borderId="0" xfId="68" applyNumberFormat="1">
      <alignment/>
      <protection/>
    </xf>
    <xf numFmtId="0" fontId="4" fillId="0" borderId="0" xfId="35" applyFont="1" applyBorder="1" applyAlignment="1" applyProtection="1">
      <alignment horizontal="center" vertical="center" wrapText="1"/>
      <protection/>
    </xf>
    <xf numFmtId="10" fontId="4" fillId="0" borderId="0" xfId="35" applyNumberFormat="1" applyFont="1" applyBorder="1" applyProtection="1">
      <alignment/>
      <protection/>
    </xf>
    <xf numFmtId="0" fontId="4" fillId="0" borderId="0" xfId="68" applyFont="1">
      <alignment/>
      <protection/>
    </xf>
    <xf numFmtId="0" fontId="5" fillId="0" borderId="0" xfId="68" applyFont="1">
      <alignment/>
      <protection/>
    </xf>
    <xf numFmtId="0" fontId="4" fillId="0" borderId="0" xfId="38" applyFont="1" applyFill="1" applyAlignment="1">
      <alignment horizontal="center" vertical="center" wrapText="1"/>
      <protection/>
    </xf>
    <xf numFmtId="0" fontId="4" fillId="0" borderId="0" xfId="38" applyFont="1" applyFill="1">
      <alignment/>
      <protection/>
    </xf>
    <xf numFmtId="0" fontId="4" fillId="0" borderId="0" xfId="38" applyNumberFormat="1" applyFont="1" applyFill="1" applyBorder="1" applyAlignment="1" applyProtection="1">
      <alignment vertical="top"/>
      <protection/>
    </xf>
    <xf numFmtId="0" fontId="13" fillId="0" borderId="0" xfId="38" applyNumberFormat="1" applyFont="1" applyFill="1" applyBorder="1" applyAlignment="1" applyProtection="1">
      <alignment vertical="top"/>
      <protection/>
    </xf>
    <xf numFmtId="0" fontId="4" fillId="0" borderId="0" xfId="38" applyNumberFormat="1" applyFont="1" applyFill="1" applyBorder="1" applyAlignment="1" applyProtection="1">
      <alignment horizontal="center" vertical="center"/>
      <protection/>
    </xf>
    <xf numFmtId="0" fontId="13" fillId="0" borderId="0" xfId="38" applyNumberFormat="1" applyFont="1" applyFill="1" applyBorder="1" applyAlignment="1" applyProtection="1">
      <alignment horizontal="center" vertical="center"/>
      <protection/>
    </xf>
    <xf numFmtId="4" fontId="0" fillId="0" borderId="0" xfId="35" applyNumberFormat="1" applyFont="1" applyBorder="1" applyProtection="1">
      <alignment/>
      <protection/>
    </xf>
    <xf numFmtId="0" fontId="4" fillId="2" borderId="0" xfId="38" applyFont="1" applyFill="1">
      <alignment/>
      <protection/>
    </xf>
    <xf numFmtId="0" fontId="38" fillId="2" borderId="0" xfId="68" applyFont="1" applyFill="1" applyProtection="1">
      <alignment/>
      <protection/>
    </xf>
    <xf numFmtId="0" fontId="38" fillId="2" borderId="0" xfId="68" applyFont="1" applyFill="1" applyAlignment="1" applyProtection="1">
      <alignment horizontal="center"/>
      <protection/>
    </xf>
    <xf numFmtId="49" fontId="4" fillId="0" borderId="0" xfId="68" applyNumberFormat="1" applyFont="1">
      <alignment/>
      <protection/>
    </xf>
    <xf numFmtId="0" fontId="11" fillId="0" borderId="0" xfId="67" applyFont="1" applyBorder="1" applyAlignment="1" applyProtection="1">
      <alignment horizontal="left"/>
      <protection hidden="1"/>
    </xf>
    <xf numFmtId="0" fontId="16" fillId="0" borderId="0" xfId="67" applyFont="1" applyProtection="1">
      <alignment/>
      <protection hidden="1"/>
    </xf>
    <xf numFmtId="0" fontId="16" fillId="0" borderId="0" xfId="68" applyFont="1">
      <alignment/>
      <protection/>
    </xf>
    <xf numFmtId="0" fontId="16" fillId="0" borderId="0" xfId="35" applyFont="1" applyFill="1" applyProtection="1">
      <alignment/>
      <protection/>
    </xf>
    <xf numFmtId="0" fontId="16" fillId="0" borderId="0" xfId="35" applyFont="1" applyProtection="1">
      <alignment/>
      <protection/>
    </xf>
    <xf numFmtId="0" fontId="4" fillId="0" borderId="0" xfId="64" applyFont="1" applyAlignment="1" applyProtection="1">
      <alignment horizontal="center" vertical="center" wrapText="1"/>
      <protection locked="0"/>
    </xf>
    <xf numFmtId="0" fontId="4" fillId="0" borderId="0" xfId="64" applyFont="1" applyProtection="1">
      <alignment/>
      <protection/>
    </xf>
    <xf numFmtId="0" fontId="4" fillId="0" borderId="0" xfId="35" applyFont="1" applyBorder="1" applyAlignment="1" applyProtection="1">
      <alignment wrapText="1"/>
      <protection/>
    </xf>
    <xf numFmtId="0" fontId="9" fillId="0" borderId="0" xfId="68" applyFill="1">
      <alignment/>
      <protection/>
    </xf>
    <xf numFmtId="0" fontId="16" fillId="0" borderId="0" xfId="68" applyFont="1" applyAlignment="1">
      <alignment horizontal="center"/>
      <protection/>
    </xf>
    <xf numFmtId="0" fontId="39" fillId="0" borderId="0" xfId="68" applyFont="1" applyAlignment="1">
      <alignment horizontal="center"/>
      <protection/>
    </xf>
    <xf numFmtId="0" fontId="16" fillId="0" borderId="0" xfId="67" applyFont="1" applyAlignment="1" applyProtection="1">
      <alignment horizontal="left"/>
      <protection hidden="1"/>
    </xf>
    <xf numFmtId="0" fontId="16" fillId="0" borderId="0" xfId="67" applyFont="1" applyAlignment="1" applyProtection="1">
      <alignment horizontal="left" indent="3"/>
      <protection hidden="1"/>
    </xf>
    <xf numFmtId="0" fontId="16" fillId="0" borderId="0" xfId="65" applyFont="1" applyAlignment="1" applyProtection="1">
      <alignment horizontal="center" vertical="center"/>
      <protection/>
    </xf>
    <xf numFmtId="0" fontId="39" fillId="0" borderId="0" xfId="68" applyFont="1" applyAlignment="1">
      <alignment horizontal="left"/>
      <protection/>
    </xf>
    <xf numFmtId="0" fontId="40" fillId="0" borderId="0" xfId="68" applyFont="1">
      <alignment/>
      <protection/>
    </xf>
    <xf numFmtId="0" fontId="40" fillId="0" borderId="0" xfId="35" applyFont="1" applyAlignment="1" applyProtection="1">
      <alignment vertical="center"/>
      <protection/>
    </xf>
    <xf numFmtId="0" fontId="40" fillId="0" borderId="0" xfId="35" applyFont="1" applyProtection="1">
      <alignment/>
      <protection/>
    </xf>
    <xf numFmtId="0" fontId="41" fillId="0" borderId="0" xfId="68" applyFont="1">
      <alignment/>
      <protection/>
    </xf>
    <xf numFmtId="0" fontId="0" fillId="0" borderId="0" xfId="64" applyFont="1" applyAlignment="1" applyProtection="1">
      <alignment horizontal="center" vertical="center" wrapText="1"/>
      <protection locked="0"/>
    </xf>
    <xf numFmtId="0" fontId="0" fillId="0" borderId="0" xfId="64" applyFont="1" applyFill="1" applyAlignment="1" applyProtection="1">
      <alignment horizontal="center" vertical="center" wrapText="1"/>
      <protection locked="0"/>
    </xf>
    <xf numFmtId="0" fontId="0" fillId="0" borderId="0" xfId="64" applyFont="1" applyProtection="1">
      <alignment/>
      <protection/>
    </xf>
    <xf numFmtId="0" fontId="0" fillId="0" borderId="0" xfId="64" applyFont="1" applyFill="1" applyProtection="1">
      <alignment/>
      <protection/>
    </xf>
    <xf numFmtId="0" fontId="0" fillId="0" borderId="0" xfId="64" applyFont="1" applyAlignment="1" applyProtection="1">
      <alignment horizontal="center" vertical="center" wrapText="1"/>
      <protection/>
    </xf>
    <xf numFmtId="0" fontId="0" fillId="0" borderId="0" xfId="64" applyFont="1" applyFill="1" applyAlignment="1" applyProtection="1">
      <alignment horizontal="center" vertical="center" wrapText="1"/>
      <protection/>
    </xf>
    <xf numFmtId="1" fontId="0" fillId="0" borderId="0" xfId="64" applyNumberFormat="1" applyFont="1" applyBorder="1" applyAlignment="1" applyProtection="1">
      <alignment horizontal="center" vertical="center" wrapText="1"/>
      <protection/>
    </xf>
    <xf numFmtId="1" fontId="0" fillId="0" borderId="0" xfId="64" applyNumberFormat="1" applyFont="1" applyAlignment="1" applyProtection="1">
      <alignment horizontal="center" vertical="center" wrapText="1"/>
      <protection/>
    </xf>
    <xf numFmtId="0" fontId="42" fillId="0" borderId="0" xfId="64" applyFont="1" applyProtection="1">
      <alignment/>
      <protection/>
    </xf>
    <xf numFmtId="0" fontId="0" fillId="0" borderId="0" xfId="71" applyFont="1" applyAlignment="1" applyProtection="1">
      <alignment horizontal="center" vertical="center" wrapText="1"/>
      <protection locked="0"/>
    </xf>
    <xf numFmtId="0" fontId="0" fillId="0" borderId="0" xfId="71" applyFont="1" applyFill="1" applyAlignment="1" applyProtection="1">
      <alignment horizontal="center" vertical="center" wrapText="1"/>
      <protection locked="0"/>
    </xf>
    <xf numFmtId="1" fontId="4" fillId="0" borderId="0" xfId="71" applyNumberFormat="1" applyFont="1" applyAlignment="1" applyProtection="1">
      <alignment horizontal="center" vertical="center" wrapText="1"/>
      <protection locked="0"/>
    </xf>
    <xf numFmtId="1" fontId="0" fillId="0" borderId="0" xfId="71" applyNumberFormat="1" applyFont="1" applyAlignment="1" applyProtection="1">
      <alignment horizontal="center" vertical="center" wrapText="1"/>
      <protection locked="0"/>
    </xf>
    <xf numFmtId="0" fontId="9" fillId="0" borderId="0" xfId="71" applyFont="1" applyAlignment="1" applyProtection="1">
      <alignment horizontal="center" vertical="center" wrapText="1"/>
      <protection locked="0"/>
    </xf>
    <xf numFmtId="0" fontId="9" fillId="0" borderId="0" xfId="71" applyFont="1" applyFill="1" applyAlignment="1" applyProtection="1">
      <alignment horizontal="center" vertical="center" wrapText="1"/>
      <protection locked="0"/>
    </xf>
    <xf numFmtId="0" fontId="9" fillId="0" borderId="0" xfId="71" applyFont="1" applyBorder="1" applyAlignment="1" applyProtection="1">
      <alignment horizontal="center" vertical="center" wrapText="1"/>
      <protection locked="0"/>
    </xf>
    <xf numFmtId="1" fontId="0" fillId="0" borderId="0" xfId="64" applyNumberFormat="1" applyFont="1" applyAlignment="1" applyProtection="1">
      <alignment horizontal="center" vertical="center" wrapText="1"/>
      <protection locked="0"/>
    </xf>
    <xf numFmtId="0" fontId="0" fillId="0" borderId="0" xfId="68" applyFont="1">
      <alignment/>
      <protection/>
    </xf>
    <xf numFmtId="4" fontId="0" fillId="0" borderId="0" xfId="35" applyNumberFormat="1" applyFont="1" applyAlignment="1" applyProtection="1">
      <alignment horizontal="center" vertical="center" wrapText="1"/>
      <protection/>
    </xf>
    <xf numFmtId="0" fontId="4" fillId="2" borderId="0" xfId="64" applyFont="1" applyFill="1" applyProtection="1">
      <alignment/>
      <protection/>
    </xf>
    <xf numFmtId="0" fontId="16" fillId="0" borderId="0" xfId="35" applyFont="1" applyAlignment="1">
      <alignment vertical="top" wrapText="1"/>
      <protection/>
    </xf>
    <xf numFmtId="0" fontId="4" fillId="0" borderId="0" xfId="35" applyFont="1" applyFill="1" applyBorder="1" applyAlignment="1" applyProtection="1">
      <alignment vertical="center" wrapText="1"/>
      <protection/>
    </xf>
    <xf numFmtId="0" fontId="12" fillId="2" borderId="0" xfId="68" applyFont="1" applyFill="1" applyAlignment="1" applyProtection="1">
      <alignment horizontal="left"/>
      <protection/>
    </xf>
    <xf numFmtId="2" fontId="4" fillId="0" borderId="0" xfId="38" applyNumberFormat="1" applyFont="1" applyFill="1" applyAlignment="1">
      <alignment horizontal="center" vertical="center" wrapText="1"/>
      <protection/>
    </xf>
    <xf numFmtId="198" fontId="4" fillId="0" borderId="0" xfId="38" applyNumberFormat="1" applyFont="1" applyFill="1" applyAlignment="1">
      <alignment horizontal="center" vertical="center" wrapText="1"/>
      <protection/>
    </xf>
    <xf numFmtId="0" fontId="10" fillId="0" borderId="0" xfId="35" applyFont="1" applyAlignment="1" applyProtection="1">
      <alignment horizontal="center"/>
      <protection/>
    </xf>
    <xf numFmtId="0" fontId="10" fillId="0" borderId="0" xfId="35" applyFont="1" applyProtection="1">
      <alignment/>
      <protection/>
    </xf>
    <xf numFmtId="4" fontId="10" fillId="0" borderId="0" xfId="35" applyNumberFormat="1" applyFont="1" applyProtection="1">
      <alignment/>
      <protection/>
    </xf>
    <xf numFmtId="0" fontId="10" fillId="2" borderId="0" xfId="35" applyFont="1" applyFill="1" applyProtection="1">
      <alignment/>
      <protection/>
    </xf>
    <xf numFmtId="0" fontId="10" fillId="0" borderId="0" xfId="35" applyFont="1" applyFill="1" applyProtection="1">
      <alignment/>
      <protection/>
    </xf>
    <xf numFmtId="3" fontId="10" fillId="0" borderId="0" xfId="35" applyNumberFormat="1" applyFont="1" applyProtection="1">
      <alignment/>
      <protection/>
    </xf>
    <xf numFmtId="0" fontId="43" fillId="2" borderId="0" xfId="35" applyFont="1" applyFill="1" applyProtection="1">
      <alignment/>
      <protection/>
    </xf>
    <xf numFmtId="0" fontId="43" fillId="0" borderId="0" xfId="35" applyFont="1" applyProtection="1">
      <alignment/>
      <protection/>
    </xf>
    <xf numFmtId="0" fontId="4" fillId="0" borderId="0" xfId="36" applyFont="1" applyFill="1" applyAlignment="1">
      <alignment vertical="center" wrapText="1"/>
      <protection/>
    </xf>
    <xf numFmtId="0" fontId="4" fillId="0" borderId="0" xfId="36" applyFont="1" applyAlignment="1">
      <alignment horizontal="center" vertical="center" wrapText="1"/>
      <protection/>
    </xf>
    <xf numFmtId="0" fontId="4" fillId="0" borderId="0" xfId="36" applyFont="1" applyAlignment="1">
      <alignment vertical="center" wrapText="1"/>
      <protection/>
    </xf>
    <xf numFmtId="0" fontId="4" fillId="0" borderId="0" xfId="36" applyFont="1" applyBorder="1" applyAlignment="1">
      <alignment vertical="center" wrapText="1"/>
      <protection/>
    </xf>
    <xf numFmtId="0" fontId="46" fillId="0" borderId="0" xfId="36" applyFont="1" applyBorder="1" applyAlignment="1">
      <alignment horizontal="center" vertical="center" wrapText="1"/>
      <protection/>
    </xf>
    <xf numFmtId="0" fontId="46" fillId="0" borderId="0" xfId="36" applyFont="1" applyBorder="1" applyAlignment="1">
      <alignment horizontal="left" vertical="center" wrapText="1"/>
      <protection/>
    </xf>
    <xf numFmtId="0" fontId="4" fillId="0" borderId="0" xfId="36" applyFont="1" applyAlignment="1">
      <alignment horizontal="left" vertical="center" wrapText="1"/>
      <protection/>
    </xf>
    <xf numFmtId="0" fontId="4" fillId="0" borderId="0" xfId="38" applyFont="1" applyFill="1" applyBorder="1" applyAlignment="1">
      <alignment horizontal="center" vertical="center" wrapText="1"/>
      <protection/>
    </xf>
    <xf numFmtId="0" fontId="47" fillId="0" borderId="10" xfId="63" applyFont="1" applyBorder="1" applyAlignment="1">
      <alignment vertical="center" wrapText="1"/>
      <protection/>
    </xf>
    <xf numFmtId="0" fontId="47" fillId="0" borderId="10" xfId="63" applyFont="1" applyBorder="1" applyAlignment="1">
      <alignment horizontal="right" vertical="center" wrapText="1"/>
      <protection/>
    </xf>
    <xf numFmtId="0" fontId="47" fillId="0" borderId="10" xfId="63" applyFont="1" applyBorder="1" applyAlignment="1">
      <alignment horizontal="left" vertical="center"/>
      <protection/>
    </xf>
    <xf numFmtId="0" fontId="4" fillId="0" borderId="0" xfId="68" applyFont="1" applyFill="1">
      <alignment/>
      <protection/>
    </xf>
    <xf numFmtId="0" fontId="41" fillId="0" borderId="0" xfId="68" applyFont="1" applyFill="1">
      <alignment/>
      <protection/>
    </xf>
    <xf numFmtId="0" fontId="16" fillId="0" borderId="0" xfId="68" applyFont="1" applyFill="1">
      <alignment/>
      <protection/>
    </xf>
    <xf numFmtId="2" fontId="47" fillId="0" borderId="10" xfId="63" applyNumberFormat="1" applyFont="1" applyBorder="1">
      <alignment/>
      <protection/>
    </xf>
    <xf numFmtId="2" fontId="47" fillId="0" borderId="10" xfId="63" applyNumberFormat="1" applyFont="1" applyBorder="1" applyAlignment="1">
      <alignment horizontal="justify"/>
      <protection/>
    </xf>
    <xf numFmtId="3" fontId="0" fillId="0" borderId="0" xfId="68" applyNumberFormat="1" applyFont="1">
      <alignment/>
      <protection/>
    </xf>
    <xf numFmtId="0" fontId="18" fillId="0" borderId="10" xfId="37" applyNumberFormat="1" applyFont="1" applyBorder="1" applyAlignment="1">
      <alignment horizontal="center" wrapText="1"/>
      <protection/>
    </xf>
    <xf numFmtId="4" fontId="18" fillId="0" borderId="10" xfId="0" applyNumberFormat="1" applyFont="1" applyBorder="1" applyAlignment="1">
      <alignment horizontal="center" wrapText="1"/>
    </xf>
    <xf numFmtId="4" fontId="18" fillId="0" borderId="10" xfId="68" applyNumberFormat="1" applyFont="1" applyFill="1" applyBorder="1" applyAlignment="1">
      <alignment horizontal="center" vertical="center" wrapText="1"/>
      <protection/>
    </xf>
    <xf numFmtId="0" fontId="18" fillId="0" borderId="10" xfId="0" applyFont="1" applyBorder="1" applyAlignment="1">
      <alignment horizontal="center" wrapText="1"/>
    </xf>
    <xf numFmtId="0" fontId="18" fillId="0" borderId="10" xfId="37" applyNumberFormat="1" applyFont="1" applyBorder="1" applyAlignment="1">
      <alignment horizontal="center" vertical="center" wrapText="1"/>
      <protection/>
    </xf>
    <xf numFmtId="0" fontId="18" fillId="0" borderId="10" xfId="37" applyNumberFormat="1" applyFont="1" applyBorder="1" applyAlignment="1">
      <alignment horizontal="center"/>
      <protection/>
    </xf>
    <xf numFmtId="4" fontId="18" fillId="0" borderId="10" xfId="0" applyNumberFormat="1" applyFont="1" applyBorder="1" applyAlignment="1">
      <alignment horizontal="center"/>
    </xf>
    <xf numFmtId="0" fontId="18" fillId="0" borderId="10" xfId="0" applyFont="1" applyBorder="1" applyAlignment="1">
      <alignment horizontal="center"/>
    </xf>
    <xf numFmtId="4" fontId="18" fillId="0" borderId="10" xfId="37" applyNumberFormat="1" applyFont="1" applyBorder="1" applyAlignment="1">
      <alignment horizontal="center"/>
      <protection/>
    </xf>
    <xf numFmtId="4" fontId="18" fillId="0" borderId="10" xfId="68" applyNumberFormat="1" applyFont="1" applyBorder="1" applyAlignment="1">
      <alignment horizontal="center"/>
      <protection/>
    </xf>
    <xf numFmtId="4" fontId="18" fillId="0" borderId="10" xfId="68" applyNumberFormat="1" applyFont="1" applyFill="1" applyBorder="1" applyAlignment="1">
      <alignment horizontal="center"/>
      <protection/>
    </xf>
    <xf numFmtId="4" fontId="18" fillId="0" borderId="10" xfId="68" applyNumberFormat="1" applyFont="1" applyFill="1" applyBorder="1" applyAlignment="1">
      <alignment horizontal="center" vertical="center"/>
      <protection/>
    </xf>
    <xf numFmtId="0" fontId="16" fillId="0" borderId="0" xfId="68" applyFont="1" applyFill="1" applyAlignment="1">
      <alignment horizontal="center"/>
      <protection/>
    </xf>
    <xf numFmtId="0" fontId="39" fillId="0" borderId="0" xfId="68" applyFont="1" applyFill="1" applyAlignment="1">
      <alignment horizontal="left"/>
      <protection/>
    </xf>
    <xf numFmtId="0" fontId="9" fillId="7" borderId="0" xfId="68" applyFill="1">
      <alignment/>
      <protection/>
    </xf>
    <xf numFmtId="0" fontId="4" fillId="0" borderId="0" xfId="39" applyFont="1" applyFill="1" applyAlignment="1">
      <alignment horizontal="center" vertical="center" wrapText="1"/>
      <protection/>
    </xf>
    <xf numFmtId="0" fontId="47" fillId="0" borderId="10" xfId="63" applyFont="1" applyBorder="1" applyAlignment="1">
      <alignment wrapText="1"/>
      <protection/>
    </xf>
    <xf numFmtId="3" fontId="0" fillId="0" borderId="0" xfId="64" applyNumberFormat="1" applyFont="1" applyFill="1" applyProtection="1">
      <alignment/>
      <protection/>
    </xf>
    <xf numFmtId="0" fontId="11" fillId="0" borderId="0" xfId="35" applyFont="1" applyProtection="1">
      <alignment/>
      <protection/>
    </xf>
    <xf numFmtId="0" fontId="18" fillId="0" borderId="0" xfId="0" applyFont="1" applyBorder="1" applyAlignment="1">
      <alignment horizontal="left" vertical="center" wrapText="1"/>
    </xf>
    <xf numFmtId="0" fontId="18" fillId="0" borderId="0" xfId="67" applyFont="1" applyBorder="1" applyAlignment="1" applyProtection="1">
      <alignment horizontal="left"/>
      <protection hidden="1"/>
    </xf>
    <xf numFmtId="0" fontId="49" fillId="0" borderId="0" xfId="67" applyFont="1" applyBorder="1" applyAlignment="1" applyProtection="1">
      <alignment horizontal="left"/>
      <protection hidden="1"/>
    </xf>
    <xf numFmtId="0" fontId="18" fillId="0" borderId="0" xfId="68" applyFont="1">
      <alignment/>
      <protection/>
    </xf>
    <xf numFmtId="0" fontId="49" fillId="0" borderId="0" xfId="67" applyFont="1" applyBorder="1" applyAlignment="1" applyProtection="1">
      <alignment horizontal="left" vertical="top"/>
      <protection hidden="1"/>
    </xf>
    <xf numFmtId="0" fontId="18" fillId="0" borderId="0" xfId="68" applyFont="1" applyAlignment="1">
      <alignment horizontal="left" vertical="top"/>
      <protection/>
    </xf>
    <xf numFmtId="0" fontId="18" fillId="0" borderId="0" xfId="67" applyFont="1" applyAlignment="1" applyProtection="1">
      <alignment horizontal="left" vertical="top"/>
      <protection hidden="1"/>
    </xf>
    <xf numFmtId="0" fontId="18" fillId="0" borderId="0" xfId="67" applyFont="1" applyAlignment="1" applyProtection="1">
      <alignment horizontal="left"/>
      <protection hidden="1"/>
    </xf>
    <xf numFmtId="0" fontId="51" fillId="9" borderId="10" xfId="38" applyFont="1" applyFill="1" applyBorder="1" applyAlignment="1">
      <alignment/>
      <protection/>
    </xf>
    <xf numFmtId="0" fontId="51" fillId="9" borderId="11" xfId="38" applyFont="1" applyFill="1" applyBorder="1" applyAlignment="1">
      <alignment/>
      <protection/>
    </xf>
    <xf numFmtId="0" fontId="51" fillId="9" borderId="12" xfId="38" applyFont="1" applyFill="1" applyBorder="1" applyAlignment="1">
      <alignment/>
      <protection/>
    </xf>
    <xf numFmtId="0" fontId="51" fillId="9" borderId="13" xfId="38" applyFont="1" applyFill="1" applyBorder="1" applyAlignment="1">
      <alignment/>
      <protection/>
    </xf>
    <xf numFmtId="49" fontId="49" fillId="0" borderId="14" xfId="39" applyNumberFormat="1" applyFont="1" applyFill="1" applyBorder="1" applyAlignment="1" applyProtection="1">
      <alignment horizontal="left" vertical="center" wrapText="1"/>
      <protection/>
    </xf>
    <xf numFmtId="0" fontId="49" fillId="0" borderId="15" xfId="39" applyFont="1" applyFill="1" applyBorder="1" applyAlignment="1">
      <alignment horizontal="center" vertical="center"/>
      <protection/>
    </xf>
    <xf numFmtId="0" fontId="18" fillId="0" borderId="11" xfId="39" applyFont="1" applyFill="1" applyBorder="1" applyAlignment="1">
      <alignment horizontal="center" vertical="center" wrapText="1"/>
      <protection/>
    </xf>
    <xf numFmtId="0" fontId="18" fillId="0" borderId="10" xfId="39" applyFont="1" applyFill="1" applyBorder="1" applyAlignment="1">
      <alignment horizontal="center" vertical="center" wrapText="1"/>
      <protection/>
    </xf>
    <xf numFmtId="0" fontId="18" fillId="0" borderId="16" xfId="39" applyFont="1" applyFill="1" applyBorder="1" applyAlignment="1">
      <alignment horizontal="center" vertical="center" wrapText="1"/>
      <protection/>
    </xf>
    <xf numFmtId="49" fontId="49" fillId="0" borderId="14" xfId="39" applyNumberFormat="1" applyFont="1" applyFill="1" applyBorder="1" applyAlignment="1">
      <alignment horizontal="left" vertical="center" wrapText="1"/>
      <protection/>
    </xf>
    <xf numFmtId="49" fontId="18" fillId="0" borderId="14" xfId="39" applyNumberFormat="1" applyFont="1" applyFill="1" applyBorder="1" applyAlignment="1">
      <alignment horizontal="left" vertical="center" wrapText="1"/>
      <protection/>
    </xf>
    <xf numFmtId="0" fontId="18" fillId="0" borderId="15" xfId="38" applyFont="1" applyFill="1" applyBorder="1" applyAlignment="1">
      <alignment vertical="center"/>
      <protection/>
    </xf>
    <xf numFmtId="0" fontId="18" fillId="0" borderId="11" xfId="38" applyFont="1" applyFill="1" applyBorder="1" applyAlignment="1">
      <alignment horizontal="center" vertical="center" textRotation="90"/>
      <protection/>
    </xf>
    <xf numFmtId="0" fontId="49" fillId="0" borderId="10" xfId="38" applyFont="1" applyFill="1" applyBorder="1" applyAlignment="1">
      <alignment horizontal="center" vertical="center"/>
      <protection/>
    </xf>
    <xf numFmtId="0" fontId="18" fillId="0" borderId="10" xfId="38" applyFont="1" applyFill="1" applyBorder="1" applyAlignment="1">
      <alignment horizontal="center" vertical="center" wrapText="1"/>
      <protection/>
    </xf>
    <xf numFmtId="0" fontId="18" fillId="0" borderId="17" xfId="38" applyFont="1" applyFill="1" applyBorder="1" applyAlignment="1">
      <alignment horizontal="center" vertical="center" wrapText="1"/>
      <protection/>
    </xf>
    <xf numFmtId="49" fontId="49" fillId="0" borderId="14" xfId="38" applyNumberFormat="1" applyFont="1" applyFill="1" applyBorder="1" applyAlignment="1" applyProtection="1">
      <alignment horizontal="left" vertical="center" wrapText="1"/>
      <protection/>
    </xf>
    <xf numFmtId="0" fontId="51" fillId="0" borderId="10" xfId="38" applyFont="1" applyFill="1" applyBorder="1" applyAlignment="1">
      <alignment horizontal="center" vertical="center"/>
      <protection/>
    </xf>
    <xf numFmtId="0" fontId="18" fillId="0" borderId="15" xfId="38" applyFont="1" applyFill="1" applyBorder="1" applyAlignment="1">
      <alignment horizontal="center" vertical="center"/>
      <protection/>
    </xf>
    <xf numFmtId="0" fontId="18" fillId="0" borderId="15" xfId="38" applyFont="1" applyFill="1" applyBorder="1" applyAlignment="1">
      <alignment horizontal="center" vertical="center" wrapText="1"/>
      <protection/>
    </xf>
    <xf numFmtId="0" fontId="18" fillId="0" borderId="10" xfId="38" applyFont="1" applyFill="1" applyBorder="1" applyAlignment="1">
      <alignment horizontal="center" vertical="center"/>
      <protection/>
    </xf>
    <xf numFmtId="49" fontId="18" fillId="0" borderId="14" xfId="39" applyNumberFormat="1" applyFont="1" applyFill="1" applyBorder="1" applyAlignment="1">
      <alignment horizontal="left" vertical="center"/>
      <protection/>
    </xf>
    <xf numFmtId="0" fontId="18" fillId="0" borderId="15" xfId="39" applyFont="1" applyFill="1" applyBorder="1" applyAlignment="1">
      <alignment horizontal="center" vertical="center" wrapText="1"/>
      <protection/>
    </xf>
    <xf numFmtId="2" fontId="18" fillId="0" borderId="12" xfId="39" applyNumberFormat="1" applyFont="1" applyFill="1" applyBorder="1" applyAlignment="1">
      <alignment horizontal="center" vertical="center" wrapText="1"/>
      <protection/>
    </xf>
    <xf numFmtId="49" fontId="18" fillId="0" borderId="14" xfId="38" applyNumberFormat="1" applyFont="1" applyFill="1" applyBorder="1" applyAlignment="1">
      <alignment horizontal="center"/>
      <protection/>
    </xf>
    <xf numFmtId="0" fontId="18" fillId="0" borderId="12" xfId="38" applyFont="1" applyFill="1" applyBorder="1" applyAlignment="1">
      <alignment horizontal="center" vertical="center" wrapText="1"/>
      <protection/>
    </xf>
    <xf numFmtId="0" fontId="18" fillId="0" borderId="18" xfId="39" applyFont="1" applyFill="1" applyBorder="1" applyAlignment="1">
      <alignment horizontal="center" vertical="center" wrapText="1"/>
      <protection/>
    </xf>
    <xf numFmtId="0" fontId="18" fillId="0" borderId="19" xfId="38" applyFont="1" applyFill="1" applyBorder="1" applyAlignment="1">
      <alignment horizontal="center" vertical="center"/>
      <protection/>
    </xf>
    <xf numFmtId="0" fontId="18" fillId="0" borderId="20" xfId="38" applyFont="1" applyFill="1" applyBorder="1" applyAlignment="1">
      <alignment horizontal="center" vertical="center"/>
      <protection/>
    </xf>
    <xf numFmtId="49" fontId="49" fillId="2" borderId="14" xfId="38" applyNumberFormat="1" applyFont="1" applyFill="1" applyBorder="1" applyAlignment="1">
      <alignment horizontal="left" vertical="center"/>
      <protection/>
    </xf>
    <xf numFmtId="0" fontId="18" fillId="0" borderId="21" xfId="38" applyFont="1" applyFill="1" applyBorder="1" applyAlignment="1">
      <alignment horizontal="center" vertical="center"/>
      <protection/>
    </xf>
    <xf numFmtId="49" fontId="18" fillId="0" borderId="22" xfId="39" applyNumberFormat="1" applyFont="1" applyFill="1" applyBorder="1" applyAlignment="1">
      <alignment vertical="center"/>
      <protection/>
    </xf>
    <xf numFmtId="49" fontId="51" fillId="0" borderId="14" xfId="39" applyNumberFormat="1" applyFont="1" applyFill="1" applyBorder="1" applyAlignment="1">
      <alignment horizontal="center"/>
      <protection/>
    </xf>
    <xf numFmtId="49" fontId="18" fillId="0" borderId="14" xfId="39" applyNumberFormat="1" applyFont="1" applyFill="1" applyBorder="1" applyAlignment="1" applyProtection="1">
      <alignment horizontal="left" vertical="center" wrapText="1"/>
      <protection/>
    </xf>
    <xf numFmtId="0" fontId="18" fillId="0" borderId="23" xfId="38" applyFont="1" applyFill="1" applyBorder="1" applyAlignment="1">
      <alignment horizontal="center" vertical="center" textRotation="90"/>
      <protection/>
    </xf>
    <xf numFmtId="0" fontId="18" fillId="0" borderId="20" xfId="38" applyFont="1" applyFill="1" applyBorder="1" applyAlignment="1">
      <alignment horizontal="center" vertical="center" wrapText="1"/>
      <protection/>
    </xf>
    <xf numFmtId="0" fontId="18" fillId="0" borderId="24" xfId="38" applyFont="1" applyFill="1" applyBorder="1" applyAlignment="1">
      <alignment horizontal="center" vertical="center" wrapText="1"/>
      <protection/>
    </xf>
    <xf numFmtId="49" fontId="18" fillId="0" borderId="22" xfId="39" applyNumberFormat="1" applyFont="1" applyFill="1" applyBorder="1" applyAlignment="1" applyProtection="1">
      <alignment horizontal="left" vertical="center" wrapText="1"/>
      <protection/>
    </xf>
    <xf numFmtId="0" fontId="18" fillId="0" borderId="25" xfId="38" applyFont="1" applyFill="1" applyBorder="1" applyAlignment="1">
      <alignment horizontal="center" vertical="center" textRotation="90"/>
      <protection/>
    </xf>
    <xf numFmtId="0" fontId="18" fillId="0" borderId="12" xfId="38" applyFont="1" applyFill="1" applyBorder="1">
      <alignment/>
      <protection/>
    </xf>
    <xf numFmtId="0" fontId="51" fillId="0" borderId="15" xfId="38" applyFont="1" applyFill="1" applyBorder="1" applyAlignment="1">
      <alignment horizontal="center" vertical="center" wrapText="1"/>
      <protection/>
    </xf>
    <xf numFmtId="0" fontId="51" fillId="0" borderId="11" xfId="38" applyFont="1" applyFill="1" applyBorder="1" applyAlignment="1">
      <alignment vertical="center"/>
      <protection/>
    </xf>
    <xf numFmtId="0" fontId="18" fillId="0" borderId="10" xfId="38" applyFont="1" applyFill="1" applyBorder="1" applyAlignment="1">
      <alignment vertical="center"/>
      <protection/>
    </xf>
    <xf numFmtId="0" fontId="51" fillId="0" borderId="12" xfId="38" applyFont="1" applyFill="1" applyBorder="1" applyAlignment="1">
      <alignment vertical="center"/>
      <protection/>
    </xf>
    <xf numFmtId="0" fontId="18" fillId="0" borderId="21" xfId="38" applyFont="1" applyFill="1" applyBorder="1" applyAlignment="1">
      <alignment horizontal="center" vertical="center" wrapText="1"/>
      <protection/>
    </xf>
    <xf numFmtId="0" fontId="18" fillId="0" borderId="26" xfId="38" applyFont="1" applyFill="1" applyBorder="1" applyAlignment="1">
      <alignment horizontal="center" vertical="center" wrapText="1"/>
      <protection/>
    </xf>
    <xf numFmtId="49" fontId="49" fillId="0" borderId="22" xfId="39" applyNumberFormat="1" applyFont="1" applyFill="1" applyBorder="1" applyAlignment="1">
      <alignment horizontal="left" vertical="center" wrapText="1"/>
      <protection/>
    </xf>
    <xf numFmtId="0" fontId="18" fillId="0" borderId="18" xfId="38" applyFont="1" applyFill="1" applyBorder="1" applyAlignment="1">
      <alignment horizontal="center" vertical="center" wrapText="1"/>
      <protection/>
    </xf>
    <xf numFmtId="49" fontId="18" fillId="0" borderId="22" xfId="39" applyNumberFormat="1" applyFont="1" applyFill="1" applyBorder="1" applyAlignment="1">
      <alignment horizontal="left" vertical="center" wrapText="1"/>
      <protection/>
    </xf>
    <xf numFmtId="0" fontId="18" fillId="0" borderId="11" xfId="38" applyFont="1" applyFill="1" applyBorder="1" applyAlignment="1">
      <alignment horizontal="center" vertical="center" textRotation="90" wrapText="1"/>
      <protection/>
    </xf>
    <xf numFmtId="0" fontId="51" fillId="0" borderId="15" xfId="38" applyFont="1" applyFill="1" applyBorder="1" applyAlignment="1">
      <alignment horizontal="center" wrapText="1"/>
      <protection/>
    </xf>
    <xf numFmtId="0" fontId="51" fillId="0" borderId="11" xfId="38" applyFont="1" applyFill="1" applyBorder="1" applyAlignment="1">
      <alignment/>
      <protection/>
    </xf>
    <xf numFmtId="0" fontId="18" fillId="0" borderId="10" xfId="38" applyFont="1" applyFill="1" applyBorder="1" applyAlignment="1">
      <alignment/>
      <protection/>
    </xf>
    <xf numFmtId="0" fontId="51" fillId="0" borderId="12" xfId="38" applyFont="1" applyFill="1" applyBorder="1" applyAlignment="1">
      <alignment/>
      <protection/>
    </xf>
    <xf numFmtId="0" fontId="18" fillId="0" borderId="15" xfId="39" applyFont="1" applyBorder="1" applyAlignment="1">
      <alignment horizontal="center" vertical="center" wrapText="1"/>
      <protection/>
    </xf>
    <xf numFmtId="0" fontId="18" fillId="0" borderId="10" xfId="38" applyNumberFormat="1" applyFont="1" applyFill="1" applyBorder="1" applyAlignment="1" applyProtection="1">
      <alignment horizontal="center" vertical="center"/>
      <protection/>
    </xf>
    <xf numFmtId="0" fontId="18" fillId="0" borderId="12" xfId="38" applyNumberFormat="1" applyFont="1" applyFill="1" applyBorder="1" applyAlignment="1" applyProtection="1">
      <alignment vertical="top"/>
      <protection/>
    </xf>
    <xf numFmtId="0" fontId="18" fillId="0" borderId="27" xfId="39" applyFont="1" applyFill="1" applyBorder="1" applyAlignment="1">
      <alignment horizontal="center" vertical="center" wrapText="1"/>
      <protection/>
    </xf>
    <xf numFmtId="0" fontId="51" fillId="9" borderId="28" xfId="39" applyFont="1" applyFill="1" applyBorder="1" applyAlignment="1">
      <alignment horizontal="left" vertical="center"/>
      <protection/>
    </xf>
    <xf numFmtId="0" fontId="51" fillId="9" borderId="29" xfId="39" applyFont="1" applyFill="1" applyBorder="1" applyAlignment="1">
      <alignment/>
      <protection/>
    </xf>
    <xf numFmtId="49" fontId="18" fillId="0" borderId="14" xfId="0" applyNumberFormat="1" applyFont="1" applyFill="1" applyBorder="1" applyAlignment="1" applyProtection="1">
      <alignment horizontal="left" vertical="center"/>
      <protection/>
    </xf>
    <xf numFmtId="0" fontId="18" fillId="0" borderId="23" xfId="38" applyFont="1" applyFill="1" applyBorder="1" applyAlignment="1">
      <alignment horizontal="center" vertical="center" textRotation="90" wrapText="1"/>
      <protection/>
    </xf>
    <xf numFmtId="0" fontId="18" fillId="0" borderId="24" xfId="38" applyNumberFormat="1" applyFont="1" applyFill="1" applyBorder="1" applyAlignment="1" applyProtection="1">
      <alignment vertical="top"/>
      <protection/>
    </xf>
    <xf numFmtId="49" fontId="18" fillId="0" borderId="22" xfId="39" applyNumberFormat="1" applyFont="1" applyFill="1" applyBorder="1" applyAlignment="1">
      <alignment horizontal="center"/>
      <protection/>
    </xf>
    <xf numFmtId="0" fontId="18" fillId="0" borderId="20" xfId="38" applyFont="1" applyFill="1" applyBorder="1" applyAlignment="1">
      <alignment vertical="center"/>
      <protection/>
    </xf>
    <xf numFmtId="49" fontId="49" fillId="18" borderId="22" xfId="39" applyNumberFormat="1" applyFont="1" applyFill="1" applyBorder="1" applyAlignment="1">
      <alignment horizontal="left" vertical="center" wrapText="1"/>
      <protection/>
    </xf>
    <xf numFmtId="0" fontId="18" fillId="0" borderId="24" xfId="38" applyFont="1" applyFill="1" applyBorder="1">
      <alignment/>
      <protection/>
    </xf>
    <xf numFmtId="49" fontId="18" fillId="0" borderId="14" xfId="39" applyNumberFormat="1" applyFont="1" applyFill="1" applyBorder="1" applyAlignment="1">
      <alignment horizontal="center"/>
      <protection/>
    </xf>
    <xf numFmtId="2" fontId="18" fillId="0" borderId="11" xfId="38" applyNumberFormat="1" applyFont="1" applyFill="1" applyBorder="1" applyAlignment="1" applyProtection="1">
      <alignment horizontal="center" vertical="center" textRotation="90" wrapText="1"/>
      <protection/>
    </xf>
    <xf numFmtId="2" fontId="18" fillId="0" borderId="23" xfId="38" applyNumberFormat="1" applyFont="1" applyFill="1" applyBorder="1" applyAlignment="1" applyProtection="1">
      <alignment horizontal="center" vertical="center" textRotation="90" wrapText="1"/>
      <protection/>
    </xf>
    <xf numFmtId="0" fontId="18" fillId="0" borderId="20" xfId="38" applyNumberFormat="1" applyFont="1" applyFill="1" applyBorder="1" applyAlignment="1" applyProtection="1">
      <alignment horizontal="center" vertical="center"/>
      <protection/>
    </xf>
    <xf numFmtId="0" fontId="18" fillId="0" borderId="24" xfId="38" applyNumberFormat="1" applyFont="1" applyFill="1" applyBorder="1" applyAlignment="1" applyProtection="1">
      <alignment horizontal="center" vertical="center"/>
      <protection/>
    </xf>
    <xf numFmtId="0" fontId="18" fillId="0" borderId="12" xfId="38" applyNumberFormat="1" applyFont="1" applyFill="1" applyBorder="1" applyAlignment="1" applyProtection="1">
      <alignment horizontal="center" vertical="center"/>
      <protection/>
    </xf>
    <xf numFmtId="49" fontId="18" fillId="0" borderId="27" xfId="39" applyNumberFormat="1" applyFont="1" applyFill="1" applyBorder="1" applyAlignment="1">
      <alignment horizontal="center"/>
      <protection/>
    </xf>
    <xf numFmtId="0" fontId="49" fillId="9" borderId="30" xfId="39" applyFont="1" applyFill="1" applyBorder="1" applyAlignment="1">
      <alignment vertical="center"/>
      <protection/>
    </xf>
    <xf numFmtId="0" fontId="51" fillId="9" borderId="31" xfId="39" applyFont="1" applyFill="1" applyBorder="1" applyAlignment="1">
      <alignment vertical="center"/>
      <protection/>
    </xf>
    <xf numFmtId="49" fontId="49" fillId="0" borderId="14" xfId="35" applyNumberFormat="1" applyFont="1" applyFill="1" applyBorder="1" applyAlignment="1">
      <alignment horizontal="left" vertical="center" wrapText="1"/>
      <protection/>
    </xf>
    <xf numFmtId="2" fontId="18" fillId="0" borderId="12" xfId="35" applyNumberFormat="1" applyFont="1" applyFill="1" applyBorder="1" applyAlignment="1">
      <alignment horizontal="right" vertical="center"/>
      <protection/>
    </xf>
    <xf numFmtId="49" fontId="49" fillId="0" borderId="22" xfId="35" applyNumberFormat="1" applyFont="1" applyFill="1" applyBorder="1" applyAlignment="1">
      <alignment horizontal="left" vertical="center" wrapText="1"/>
      <protection/>
    </xf>
    <xf numFmtId="49" fontId="18" fillId="0" borderId="22" xfId="35" applyNumberFormat="1" applyFont="1" applyFill="1" applyBorder="1" applyAlignment="1">
      <alignment horizontal="left" vertical="center" wrapText="1"/>
      <protection/>
    </xf>
    <xf numFmtId="49" fontId="18" fillId="0" borderId="14" xfId="39" applyNumberFormat="1" applyFont="1" applyFill="1" applyBorder="1" applyAlignment="1" applyProtection="1">
      <alignment horizontal="center" vertical="center"/>
      <protection/>
    </xf>
    <xf numFmtId="0" fontId="18" fillId="0" borderId="10" xfId="38" applyNumberFormat="1" applyFont="1" applyFill="1" applyBorder="1" applyAlignment="1" applyProtection="1">
      <alignment vertical="center"/>
      <protection/>
    </xf>
    <xf numFmtId="49" fontId="18" fillId="0" borderId="14" xfId="39" applyNumberFormat="1" applyFont="1" applyFill="1" applyBorder="1" applyAlignment="1" applyProtection="1">
      <alignment horizontal="left" vertical="center"/>
      <protection/>
    </xf>
    <xf numFmtId="0" fontId="18" fillId="0" borderId="20" xfId="38" applyNumberFormat="1" applyFont="1" applyFill="1" applyBorder="1" applyAlignment="1" applyProtection="1">
      <alignment vertical="center"/>
      <protection/>
    </xf>
    <xf numFmtId="49" fontId="18" fillId="2" borderId="22" xfId="35" applyNumberFormat="1" applyFont="1" applyFill="1" applyBorder="1" applyAlignment="1" applyProtection="1">
      <alignment horizontal="left" vertical="center"/>
      <protection/>
    </xf>
    <xf numFmtId="49" fontId="18" fillId="2" borderId="27" xfId="35" applyNumberFormat="1" applyFont="1" applyFill="1" applyBorder="1" applyAlignment="1" applyProtection="1">
      <alignment horizontal="left" vertical="center"/>
      <protection/>
    </xf>
    <xf numFmtId="49" fontId="18" fillId="0" borderId="14" xfId="39" applyNumberFormat="1" applyFont="1" applyFill="1" applyBorder="1" applyAlignment="1">
      <alignment horizontal="left"/>
      <protection/>
    </xf>
    <xf numFmtId="49" fontId="18" fillId="0" borderId="14" xfId="35" applyNumberFormat="1" applyFont="1" applyFill="1" applyBorder="1" applyAlignment="1">
      <alignment horizontal="left" vertical="center" wrapText="1"/>
      <protection/>
    </xf>
    <xf numFmtId="2" fontId="18" fillId="0" borderId="10" xfId="35" applyNumberFormat="1" applyFont="1" applyFill="1" applyBorder="1" applyAlignment="1">
      <alignment horizontal="right" vertical="center"/>
      <protection/>
    </xf>
    <xf numFmtId="49" fontId="18" fillId="0" borderId="14" xfId="39" applyNumberFormat="1" applyFont="1" applyFill="1" applyBorder="1" applyAlignment="1">
      <alignment horizontal="center" vertical="center"/>
      <protection/>
    </xf>
    <xf numFmtId="49" fontId="18" fillId="0" borderId="32" xfId="39" applyNumberFormat="1" applyFont="1" applyFill="1" applyBorder="1" applyAlignment="1">
      <alignment horizontal="center" vertical="center"/>
      <protection/>
    </xf>
    <xf numFmtId="2" fontId="18" fillId="0" borderId="33" xfId="38" applyNumberFormat="1" applyFont="1" applyFill="1" applyBorder="1" applyAlignment="1" applyProtection="1">
      <alignment horizontal="center" vertical="center" textRotation="90" wrapText="1"/>
      <protection/>
    </xf>
    <xf numFmtId="0" fontId="18" fillId="0" borderId="0" xfId="0" applyFont="1" applyBorder="1" applyAlignment="1">
      <alignment vertical="center"/>
    </xf>
    <xf numFmtId="49" fontId="18" fillId="0" borderId="22" xfId="39" applyNumberFormat="1" applyFont="1" applyFill="1" applyBorder="1" applyAlignment="1">
      <alignment horizontal="left" vertical="center"/>
      <protection/>
    </xf>
    <xf numFmtId="49" fontId="18" fillId="0" borderId="10" xfId="39" applyNumberFormat="1" applyFont="1" applyFill="1" applyBorder="1" applyAlignment="1">
      <alignment horizontal="left" vertical="center" wrapText="1"/>
      <protection/>
    </xf>
    <xf numFmtId="49" fontId="18" fillId="0" borderId="32" xfId="39" applyNumberFormat="1" applyFont="1" applyFill="1" applyBorder="1" applyAlignment="1">
      <alignment horizontal="center"/>
      <protection/>
    </xf>
    <xf numFmtId="2" fontId="18" fillId="0" borderId="15" xfId="38" applyNumberFormat="1" applyFont="1" applyFill="1" applyBorder="1" applyAlignment="1" applyProtection="1">
      <alignment horizontal="center" vertical="center" wrapText="1"/>
      <protection/>
    </xf>
    <xf numFmtId="49" fontId="18" fillId="0" borderId="14" xfId="39" applyNumberFormat="1" applyFont="1" applyBorder="1" applyAlignment="1">
      <alignment horizontal="left" vertical="center" wrapText="1"/>
      <protection/>
    </xf>
    <xf numFmtId="0" fontId="18" fillId="0" borderId="25" xfId="38" applyFont="1" applyFill="1" applyBorder="1" applyAlignment="1">
      <alignment horizontal="center" vertical="center" wrapText="1"/>
      <protection/>
    </xf>
    <xf numFmtId="0" fontId="18" fillId="0" borderId="34" xfId="38" applyFont="1" applyFill="1" applyBorder="1" applyAlignment="1">
      <alignment horizontal="center" vertical="center" wrapText="1"/>
      <protection/>
    </xf>
    <xf numFmtId="49" fontId="18" fillId="0" borderId="22" xfId="39" applyNumberFormat="1" applyFont="1" applyBorder="1" applyAlignment="1">
      <alignment horizontal="left" vertical="center" wrapText="1"/>
      <protection/>
    </xf>
    <xf numFmtId="0" fontId="18" fillId="0" borderId="11" xfId="38" applyFont="1" applyFill="1" applyBorder="1" applyAlignment="1">
      <alignment horizontal="center" vertical="center" wrapText="1"/>
      <protection/>
    </xf>
    <xf numFmtId="0" fontId="49" fillId="9" borderId="35" xfId="39" applyFont="1" applyFill="1" applyBorder="1" applyAlignment="1">
      <alignment vertical="center"/>
      <protection/>
    </xf>
    <xf numFmtId="0" fontId="18" fillId="0" borderId="36" xfId="38" applyFont="1" applyFill="1" applyBorder="1" applyAlignment="1">
      <alignment horizontal="center" vertical="center" wrapText="1"/>
      <protection/>
    </xf>
    <xf numFmtId="0" fontId="18" fillId="0" borderId="21" xfId="38" applyFont="1" applyFill="1" applyBorder="1" applyAlignment="1">
      <alignment vertical="center"/>
      <protection/>
    </xf>
    <xf numFmtId="0" fontId="49" fillId="18" borderId="37" xfId="39" applyFont="1" applyFill="1" applyBorder="1" applyAlignment="1">
      <alignment vertical="center"/>
      <protection/>
    </xf>
    <xf numFmtId="0" fontId="49" fillId="18" borderId="38" xfId="39" applyFont="1" applyFill="1" applyBorder="1" applyAlignment="1">
      <alignment vertical="center"/>
      <protection/>
    </xf>
    <xf numFmtId="2" fontId="49" fillId="18" borderId="39" xfId="39" applyNumberFormat="1" applyFont="1" applyFill="1" applyBorder="1" applyAlignment="1">
      <alignment horizontal="right" vertical="center"/>
      <protection/>
    </xf>
    <xf numFmtId="0" fontId="18" fillId="0" borderId="40" xfId="38" applyFont="1" applyFill="1" applyBorder="1" applyAlignment="1">
      <alignment horizontal="center" vertical="center" wrapText="1"/>
      <protection/>
    </xf>
    <xf numFmtId="0" fontId="18" fillId="0" borderId="41" xfId="38" applyFont="1" applyFill="1" applyBorder="1" applyAlignment="1">
      <alignment horizontal="center" vertical="center" wrapText="1"/>
      <protection/>
    </xf>
    <xf numFmtId="0" fontId="18" fillId="0" borderId="42" xfId="38" applyFont="1" applyFill="1" applyBorder="1" applyAlignment="1">
      <alignment horizontal="center" vertical="center"/>
      <protection/>
    </xf>
    <xf numFmtId="0" fontId="18" fillId="0" borderId="42" xfId="38" applyFont="1" applyFill="1" applyBorder="1" applyAlignment="1">
      <alignment horizontal="center" vertical="center" wrapText="1"/>
      <protection/>
    </xf>
    <xf numFmtId="0" fontId="18" fillId="0" borderId="39" xfId="38" applyFont="1" applyFill="1" applyBorder="1" applyAlignment="1">
      <alignment horizontal="center" vertical="center" wrapText="1"/>
      <protection/>
    </xf>
    <xf numFmtId="0" fontId="49" fillId="0" borderId="0" xfId="39" applyFont="1" applyFill="1" applyBorder="1" applyAlignment="1">
      <alignment vertical="center"/>
      <protection/>
    </xf>
    <xf numFmtId="0" fontId="18" fillId="0" borderId="0" xfId="38" applyFont="1" applyFill="1" applyBorder="1" applyAlignment="1">
      <alignment horizontal="center" vertical="center" wrapText="1"/>
      <protection/>
    </xf>
    <xf numFmtId="0" fontId="18" fillId="0" borderId="0" xfId="38" applyFont="1" applyFill="1" applyBorder="1" applyAlignment="1">
      <alignment horizontal="center" vertical="center"/>
      <protection/>
    </xf>
    <xf numFmtId="0" fontId="18" fillId="0" borderId="0" xfId="38" applyFont="1" applyAlignment="1">
      <alignment horizontal="center" vertical="center" wrapText="1"/>
      <protection/>
    </xf>
    <xf numFmtId="49" fontId="18" fillId="0" borderId="0" xfId="38" applyNumberFormat="1" applyFont="1" applyFill="1" applyAlignment="1">
      <alignment horizontal="left" vertical="center"/>
      <protection/>
    </xf>
    <xf numFmtId="49" fontId="18" fillId="0" borderId="0" xfId="38" applyNumberFormat="1" applyFont="1" applyFill="1" applyAlignment="1">
      <alignment horizontal="center" vertical="center" wrapText="1"/>
      <protection/>
    </xf>
    <xf numFmtId="0" fontId="18" fillId="0" borderId="0" xfId="68" applyFont="1" applyFill="1">
      <alignment/>
      <protection/>
    </xf>
    <xf numFmtId="0" fontId="51" fillId="9" borderId="43" xfId="38" applyFont="1" applyFill="1" applyBorder="1" applyAlignment="1">
      <alignment horizontal="left" vertical="center"/>
      <protection/>
    </xf>
    <xf numFmtId="0" fontId="51" fillId="9" borderId="44" xfId="38" applyFont="1" applyFill="1" applyBorder="1" applyAlignment="1">
      <alignment horizontal="left" vertical="center"/>
      <protection/>
    </xf>
    <xf numFmtId="4"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4" fillId="0" borderId="0" xfId="39" applyFont="1" applyFill="1" applyBorder="1" applyAlignment="1">
      <alignment horizontal="center" vertical="center" wrapText="1"/>
      <protection/>
    </xf>
    <xf numFmtId="0" fontId="18" fillId="0" borderId="13" xfId="39" applyFont="1" applyFill="1" applyBorder="1" applyAlignment="1">
      <alignment horizontal="center" vertical="center" wrapText="1"/>
      <protection/>
    </xf>
    <xf numFmtId="49" fontId="18" fillId="0" borderId="22" xfId="39" applyNumberFormat="1" applyFont="1" applyFill="1" applyBorder="1" applyAlignment="1">
      <alignment horizontal="center" vertical="center" wrapText="1"/>
      <protection/>
    </xf>
    <xf numFmtId="196" fontId="18" fillId="0" borderId="20" xfId="38" applyNumberFormat="1" applyFont="1" applyFill="1" applyBorder="1" applyAlignment="1">
      <alignment horizontal="center" vertical="center" wrapText="1"/>
      <protection/>
    </xf>
    <xf numFmtId="0" fontId="18" fillId="0" borderId="36" xfId="39" applyFont="1" applyFill="1" applyBorder="1" applyAlignment="1">
      <alignment horizontal="center" vertical="center" wrapText="1"/>
      <protection/>
    </xf>
    <xf numFmtId="0" fontId="18" fillId="0" borderId="45" xfId="38" applyFont="1" applyFill="1" applyBorder="1" applyAlignment="1">
      <alignment horizontal="center" vertical="center" wrapText="1"/>
      <protection/>
    </xf>
    <xf numFmtId="0" fontId="18" fillId="0" borderId="46" xfId="38" applyFont="1" applyFill="1" applyBorder="1" applyAlignment="1">
      <alignment vertical="center"/>
      <protection/>
    </xf>
    <xf numFmtId="0" fontId="18" fillId="0" borderId="46" xfId="38" applyNumberFormat="1" applyFont="1" applyFill="1" applyBorder="1" applyAlignment="1" applyProtection="1">
      <alignment vertical="center"/>
      <protection/>
    </xf>
    <xf numFmtId="0" fontId="18" fillId="0" borderId="47" xfId="38" applyNumberFormat="1" applyFont="1" applyFill="1" applyBorder="1" applyAlignment="1" applyProtection="1">
      <alignment vertical="top"/>
      <protection/>
    </xf>
    <xf numFmtId="49" fontId="18" fillId="0" borderId="14" xfId="39" applyNumberFormat="1" applyFont="1" applyFill="1" applyBorder="1" applyAlignment="1">
      <alignment horizontal="center" vertical="center" wrapText="1"/>
      <protection/>
    </xf>
    <xf numFmtId="49" fontId="18" fillId="0" borderId="22" xfId="39" applyNumberFormat="1" applyFont="1" applyFill="1" applyBorder="1" applyAlignment="1" applyProtection="1">
      <alignment horizontal="left" vertical="center"/>
      <protection/>
    </xf>
    <xf numFmtId="49" fontId="18" fillId="0" borderId="14" xfId="38" applyNumberFormat="1" applyFont="1" applyFill="1" applyBorder="1" applyAlignment="1" applyProtection="1">
      <alignment horizontal="left" vertical="center" wrapText="1"/>
      <protection/>
    </xf>
    <xf numFmtId="198" fontId="4" fillId="0" borderId="0" xfId="39" applyNumberFormat="1" applyFont="1" applyFill="1" applyAlignment="1">
      <alignment horizontal="center" vertical="center" wrapText="1"/>
      <protection/>
    </xf>
    <xf numFmtId="197" fontId="4" fillId="0" borderId="0" xfId="38" applyNumberFormat="1" applyFont="1" applyFill="1" applyAlignment="1">
      <alignment horizontal="center" vertical="center" wrapText="1"/>
      <protection/>
    </xf>
    <xf numFmtId="49" fontId="18" fillId="0" borderId="48" xfId="39" applyNumberFormat="1" applyFont="1" applyFill="1" applyBorder="1" applyAlignment="1" applyProtection="1">
      <alignment horizontal="center" vertical="center"/>
      <protection/>
    </xf>
    <xf numFmtId="49" fontId="49" fillId="0" borderId="22" xfId="39" applyNumberFormat="1" applyFont="1" applyFill="1" applyBorder="1" applyAlignment="1" applyProtection="1">
      <alignment horizontal="left" vertical="center"/>
      <protection/>
    </xf>
    <xf numFmtId="49" fontId="18" fillId="0" borderId="49" xfId="39" applyNumberFormat="1" applyFont="1" applyFill="1" applyBorder="1" applyAlignment="1">
      <alignment horizontal="left" vertical="center" wrapText="1"/>
      <protection/>
    </xf>
    <xf numFmtId="0" fontId="18" fillId="0" borderId="50" xfId="39" applyFont="1" applyFill="1" applyBorder="1" applyAlignment="1">
      <alignment horizontal="center" vertical="center" wrapText="1"/>
      <protection/>
    </xf>
    <xf numFmtId="0" fontId="18" fillId="0" borderId="51" xfId="38" applyFont="1" applyFill="1" applyBorder="1" applyAlignment="1">
      <alignment horizontal="center" vertical="center" textRotation="90"/>
      <protection/>
    </xf>
    <xf numFmtId="0" fontId="18" fillId="0" borderId="52" xfId="38" applyFont="1" applyFill="1" applyBorder="1" applyAlignment="1">
      <alignment horizontal="center" vertical="center" wrapText="1"/>
      <protection/>
    </xf>
    <xf numFmtId="193" fontId="4" fillId="0" borderId="0" xfId="38" applyNumberFormat="1" applyFont="1" applyFill="1" applyAlignment="1">
      <alignment horizontal="center" vertical="center" wrapText="1"/>
      <protection/>
    </xf>
    <xf numFmtId="0" fontId="53" fillId="0" borderId="10" xfId="35" applyFont="1" applyBorder="1" applyAlignment="1" applyProtection="1">
      <alignment horizontal="center" vertical="center" wrapText="1"/>
      <protection/>
    </xf>
    <xf numFmtId="0" fontId="53" fillId="0" borderId="10" xfId="35" applyFont="1" applyBorder="1" applyAlignment="1" applyProtection="1">
      <alignment horizontal="center" vertical="center"/>
      <protection/>
    </xf>
    <xf numFmtId="0" fontId="53" fillId="0" borderId="53" xfId="35" applyFont="1" applyBorder="1" applyAlignment="1" applyProtection="1">
      <alignment horizontal="center" vertical="center"/>
      <protection/>
    </xf>
    <xf numFmtId="0" fontId="38" fillId="0" borderId="10" xfId="35" applyFont="1" applyBorder="1" applyAlignment="1" applyProtection="1">
      <alignment horizontal="center" vertical="center" wrapText="1"/>
      <protection/>
    </xf>
    <xf numFmtId="0" fontId="38" fillId="0" borderId="10" xfId="35" applyFont="1" applyBorder="1" applyAlignment="1" applyProtection="1">
      <alignment horizontal="center" vertical="center"/>
      <protection/>
    </xf>
    <xf numFmtId="0" fontId="53" fillId="0" borderId="10" xfId="35" applyFont="1" applyBorder="1" applyAlignment="1" applyProtection="1">
      <alignment horizontal="left" vertical="center" wrapText="1"/>
      <protection/>
    </xf>
    <xf numFmtId="4" fontId="13" fillId="0" borderId="10" xfId="35" applyNumberFormat="1" applyFont="1" applyFill="1" applyBorder="1" applyProtection="1">
      <alignment/>
      <protection/>
    </xf>
    <xf numFmtId="10" fontId="13" fillId="0" borderId="10" xfId="35" applyNumberFormat="1" applyFont="1" applyBorder="1" applyProtection="1">
      <alignment/>
      <protection/>
    </xf>
    <xf numFmtId="10" fontId="13" fillId="0" borderId="10" xfId="35" applyNumberFormat="1" applyFont="1" applyFill="1" applyBorder="1" applyProtection="1">
      <alignment/>
      <protection/>
    </xf>
    <xf numFmtId="0" fontId="53" fillId="0" borderId="10" xfId="35" applyFont="1" applyFill="1" applyBorder="1" applyAlignment="1" applyProtection="1">
      <alignment horizontal="left"/>
      <protection/>
    </xf>
    <xf numFmtId="0" fontId="53" fillId="0" borderId="0" xfId="35" applyFont="1" applyBorder="1" applyAlignment="1">
      <alignment wrapText="1"/>
      <protection/>
    </xf>
    <xf numFmtId="0" fontId="53" fillId="0" borderId="0" xfId="35" applyFont="1" applyBorder="1">
      <alignment/>
      <protection/>
    </xf>
    <xf numFmtId="0" fontId="13" fillId="0" borderId="0" xfId="35" applyFont="1" applyBorder="1">
      <alignment/>
      <protection/>
    </xf>
    <xf numFmtId="0" fontId="13" fillId="0" borderId="0" xfId="35" applyFont="1">
      <alignment/>
      <protection/>
    </xf>
    <xf numFmtId="0" fontId="53" fillId="0" borderId="0" xfId="35" applyFont="1" applyAlignment="1">
      <alignment vertical="top" wrapText="1"/>
      <protection/>
    </xf>
    <xf numFmtId="0" fontId="13" fillId="0" borderId="0" xfId="35" applyFont="1" applyProtection="1">
      <alignment/>
      <protection/>
    </xf>
    <xf numFmtId="0" fontId="13" fillId="0" borderId="0" xfId="35" applyFont="1" applyAlignment="1" applyProtection="1">
      <alignment horizontal="right"/>
      <protection/>
    </xf>
    <xf numFmtId="0" fontId="56" fillId="0" borderId="40" xfId="35" applyFont="1" applyBorder="1" applyAlignment="1" applyProtection="1">
      <alignment horizontal="center" vertical="center"/>
      <protection/>
    </xf>
    <xf numFmtId="0" fontId="53" fillId="0" borderId="40" xfId="35" applyFont="1" applyBorder="1" applyAlignment="1" applyProtection="1">
      <alignment horizontal="center" vertical="center"/>
      <protection/>
    </xf>
    <xf numFmtId="14" fontId="53" fillId="8" borderId="40" xfId="35" applyNumberFormat="1" applyFont="1" applyFill="1" applyBorder="1" applyAlignment="1" applyProtection="1">
      <alignment horizontal="center" vertical="center"/>
      <protection locked="0"/>
    </xf>
    <xf numFmtId="1" fontId="53" fillId="8" borderId="40" xfId="35" applyNumberFormat="1" applyFont="1" applyFill="1" applyBorder="1" applyAlignment="1" applyProtection="1">
      <alignment horizontal="center" vertical="center"/>
      <protection locked="0"/>
    </xf>
    <xf numFmtId="0" fontId="53" fillId="8" borderId="40" xfId="35" applyFont="1" applyFill="1" applyBorder="1" applyAlignment="1" applyProtection="1">
      <alignment horizontal="center" vertical="center"/>
      <protection locked="0"/>
    </xf>
    <xf numFmtId="0" fontId="53" fillId="0" borderId="10" xfId="68" applyFont="1" applyFill="1" applyBorder="1" applyAlignment="1">
      <alignment horizontal="center" vertical="center" wrapText="1"/>
      <protection/>
    </xf>
    <xf numFmtId="0" fontId="53" fillId="0" borderId="10" xfId="68" applyFont="1" applyBorder="1" applyAlignment="1">
      <alignment horizontal="center" vertical="center" wrapText="1"/>
      <protection/>
    </xf>
    <xf numFmtId="0" fontId="53" fillId="0" borderId="10" xfId="68" applyFont="1" applyFill="1" applyBorder="1" applyAlignment="1">
      <alignment horizontal="center"/>
      <protection/>
    </xf>
    <xf numFmtId="0" fontId="53" fillId="0" borderId="10" xfId="68" applyFont="1" applyFill="1" applyBorder="1" applyAlignment="1">
      <alignment horizontal="center" vertical="center"/>
      <protection/>
    </xf>
    <xf numFmtId="0" fontId="53" fillId="0" borderId="10" xfId="68" applyFont="1" applyFill="1" applyBorder="1" applyAlignment="1">
      <alignment horizontal="left" vertical="center" wrapText="1"/>
      <protection/>
    </xf>
    <xf numFmtId="2" fontId="53" fillId="0" borderId="10" xfId="68" applyNumberFormat="1" applyFont="1" applyFill="1" applyBorder="1" applyAlignment="1">
      <alignment horizontal="center" vertical="center"/>
      <protection/>
    </xf>
    <xf numFmtId="0" fontId="53" fillId="0" borderId="10" xfId="69" applyFont="1" applyBorder="1" applyAlignment="1">
      <alignment horizontal="center" vertical="center"/>
      <protection/>
    </xf>
    <xf numFmtId="0" fontId="53" fillId="0" borderId="10" xfId="69" applyFont="1" applyBorder="1" applyAlignment="1">
      <alignment horizontal="center"/>
      <protection/>
    </xf>
    <xf numFmtId="0" fontId="53" fillId="0" borderId="0" xfId="68" applyFont="1">
      <alignment/>
      <protection/>
    </xf>
    <xf numFmtId="0" fontId="56" fillId="0" borderId="0" xfId="67" applyFont="1" applyBorder="1" applyAlignment="1" applyProtection="1">
      <alignment horizontal="left"/>
      <protection hidden="1"/>
    </xf>
    <xf numFmtId="0" fontId="53" fillId="0" borderId="0" xfId="68" applyFont="1" applyAlignment="1">
      <alignment horizontal="center"/>
      <protection/>
    </xf>
    <xf numFmtId="0" fontId="57" fillId="0" borderId="0" xfId="68" applyFont="1" applyAlignment="1">
      <alignment horizontal="center"/>
      <protection/>
    </xf>
    <xf numFmtId="0" fontId="13" fillId="0" borderId="0" xfId="68" applyFont="1">
      <alignment/>
      <protection/>
    </xf>
    <xf numFmtId="0" fontId="53" fillId="0" borderId="0" xfId="67" applyFont="1" applyProtection="1">
      <alignment/>
      <protection hidden="1"/>
    </xf>
    <xf numFmtId="0" fontId="56" fillId="0" borderId="0" xfId="67" applyFont="1" applyProtection="1">
      <alignment/>
      <protection hidden="1"/>
    </xf>
    <xf numFmtId="0" fontId="58" fillId="0" borderId="0" xfId="67" applyFont="1" applyBorder="1" applyAlignment="1" applyProtection="1">
      <alignment horizontal="left"/>
      <protection hidden="1"/>
    </xf>
    <xf numFmtId="0" fontId="59" fillId="0" borderId="0" xfId="68" applyFont="1">
      <alignment/>
      <protection/>
    </xf>
    <xf numFmtId="0" fontId="53" fillId="0" borderId="0" xfId="67" applyFont="1" applyAlignment="1" applyProtection="1">
      <alignment/>
      <protection hidden="1"/>
    </xf>
    <xf numFmtId="0" fontId="60" fillId="0" borderId="0" xfId="68" applyFont="1" applyAlignment="1">
      <alignment horizontal="center"/>
      <protection/>
    </xf>
    <xf numFmtId="0" fontId="59" fillId="0" borderId="0" xfId="67" applyFont="1" applyProtection="1">
      <alignment/>
      <protection hidden="1"/>
    </xf>
    <xf numFmtId="0" fontId="59" fillId="0" borderId="0" xfId="68" applyFont="1" applyAlignment="1">
      <alignment horizontal="center"/>
      <protection/>
    </xf>
    <xf numFmtId="0" fontId="53" fillId="0" borderId="10" xfId="65" applyFont="1" applyBorder="1" applyAlignment="1" applyProtection="1">
      <alignment horizontal="center" vertical="center" wrapText="1"/>
      <protection/>
    </xf>
    <xf numFmtId="0" fontId="53" fillId="0" borderId="10" xfId="65" applyFont="1" applyBorder="1" applyAlignment="1" applyProtection="1">
      <alignment horizontal="center" vertical="center"/>
      <protection/>
    </xf>
    <xf numFmtId="0" fontId="53" fillId="0" borderId="10" xfId="65" applyNumberFormat="1" applyFont="1" applyBorder="1" applyAlignment="1" applyProtection="1">
      <alignment horizontal="center" vertical="center" wrapText="1"/>
      <protection/>
    </xf>
    <xf numFmtId="2" fontId="53" fillId="0" borderId="10" xfId="35" applyNumberFormat="1" applyFont="1" applyFill="1" applyBorder="1" applyAlignment="1" applyProtection="1">
      <alignment horizontal="center" vertical="center"/>
      <protection locked="0"/>
    </xf>
    <xf numFmtId="49" fontId="53" fillId="0" borderId="10" xfId="65" applyNumberFormat="1" applyFont="1" applyBorder="1" applyAlignment="1" applyProtection="1">
      <alignment horizontal="center" vertical="center"/>
      <protection/>
    </xf>
    <xf numFmtId="2" fontId="53" fillId="8" borderId="10" xfId="66" applyNumberFormat="1" applyFont="1" applyFill="1" applyBorder="1" applyAlignment="1" applyProtection="1">
      <alignment horizontal="center" vertical="center"/>
      <protection locked="0"/>
    </xf>
    <xf numFmtId="2" fontId="53" fillId="8" borderId="10" xfId="35" applyNumberFormat="1" applyFont="1" applyFill="1" applyBorder="1" applyAlignment="1" applyProtection="1">
      <alignment horizontal="center" vertical="center"/>
      <protection locked="0"/>
    </xf>
    <xf numFmtId="2" fontId="13" fillId="8" borderId="10" xfId="66" applyNumberFormat="1" applyFont="1" applyFill="1" applyBorder="1" applyAlignment="1" applyProtection="1">
      <alignment horizontal="center" vertical="center"/>
      <protection locked="0"/>
    </xf>
    <xf numFmtId="2" fontId="53" fillId="8" borderId="10" xfId="0" applyNumberFormat="1" applyFont="1" applyFill="1" applyBorder="1" applyAlignment="1" applyProtection="1">
      <alignment horizontal="center" vertical="center"/>
      <protection locked="0"/>
    </xf>
    <xf numFmtId="2" fontId="53" fillId="0" borderId="10" xfId="0" applyNumberFormat="1" applyFont="1" applyFill="1" applyBorder="1" applyAlignment="1" applyProtection="1">
      <alignment horizontal="center" vertical="center"/>
      <protection locked="0"/>
    </xf>
    <xf numFmtId="0" fontId="53" fillId="0" borderId="0" xfId="65" applyNumberFormat="1" applyFont="1" applyAlignment="1" applyProtection="1">
      <alignment horizontal="center" vertical="center"/>
      <protection/>
    </xf>
    <xf numFmtId="0" fontId="53" fillId="0" borderId="0" xfId="65" applyFont="1" applyAlignment="1">
      <alignment horizontal="center" vertical="center" wrapText="1"/>
      <protection/>
    </xf>
    <xf numFmtId="0" fontId="53" fillId="0" borderId="0" xfId="65" applyFont="1" applyAlignment="1">
      <alignment horizontal="center"/>
      <protection/>
    </xf>
    <xf numFmtId="0" fontId="13" fillId="0" borderId="0" xfId="65" applyFont="1" applyAlignment="1">
      <alignment horizontal="center"/>
      <protection/>
    </xf>
    <xf numFmtId="0" fontId="13" fillId="0" borderId="0" xfId="65" applyFont="1" applyAlignment="1">
      <alignment horizontal="center" vertical="center" wrapText="1"/>
      <protection/>
    </xf>
    <xf numFmtId="0" fontId="53" fillId="0" borderId="0" xfId="67" applyFont="1" applyAlignment="1" applyProtection="1">
      <alignment horizontal="left"/>
      <protection hidden="1"/>
    </xf>
    <xf numFmtId="0" fontId="53" fillId="0" borderId="0" xfId="67" applyFont="1" applyAlignment="1" applyProtection="1">
      <alignment horizontal="left" indent="3"/>
      <protection hidden="1"/>
    </xf>
    <xf numFmtId="0" fontId="13" fillId="0" borderId="0" xfId="65" applyNumberFormat="1" applyFont="1" applyAlignment="1" applyProtection="1">
      <alignment horizontal="center" vertical="center"/>
      <protection/>
    </xf>
    <xf numFmtId="0" fontId="13" fillId="0" borderId="0" xfId="65" applyFont="1" applyAlignment="1" applyProtection="1">
      <alignment horizontal="center" vertical="center"/>
      <protection/>
    </xf>
    <xf numFmtId="0" fontId="53" fillId="0" borderId="0" xfId="65" applyFont="1" applyAlignment="1" applyProtection="1">
      <alignment horizontal="center" vertical="center"/>
      <protection/>
    </xf>
    <xf numFmtId="1" fontId="53" fillId="0" borderId="10" xfId="35" applyNumberFormat="1" applyFont="1" applyBorder="1" applyAlignment="1" applyProtection="1">
      <alignment horizontal="center" vertical="center" wrapText="1"/>
      <protection locked="0"/>
    </xf>
    <xf numFmtId="4" fontId="53" fillId="0" borderId="10" xfId="35" applyNumberFormat="1" applyFont="1" applyFill="1" applyBorder="1" applyAlignment="1" applyProtection="1">
      <alignment horizontal="center" vertical="center" wrapText="1"/>
      <protection locked="0"/>
    </xf>
    <xf numFmtId="4" fontId="53" fillId="0" borderId="10" xfId="35" applyNumberFormat="1" applyFont="1" applyBorder="1" applyAlignment="1" applyProtection="1">
      <alignment horizontal="center" vertical="center" wrapText="1"/>
      <protection/>
    </xf>
    <xf numFmtId="0" fontId="53" fillId="2" borderId="10" xfId="35" applyFont="1" applyFill="1" applyBorder="1" applyAlignment="1" applyProtection="1">
      <alignment horizontal="center" vertical="center" wrapText="1"/>
      <protection/>
    </xf>
    <xf numFmtId="0" fontId="53" fillId="2" borderId="10" xfId="35" applyFont="1" applyFill="1" applyBorder="1" applyAlignment="1" applyProtection="1">
      <alignment horizontal="center" vertical="center" wrapText="1"/>
      <protection locked="0"/>
    </xf>
    <xf numFmtId="0" fontId="56" fillId="2" borderId="10" xfId="35" applyFont="1" applyFill="1" applyBorder="1" applyAlignment="1" applyProtection="1">
      <alignment wrapText="1"/>
      <protection/>
    </xf>
    <xf numFmtId="4" fontId="53" fillId="0" borderId="10" xfId="35" applyNumberFormat="1" applyFont="1" applyFill="1" applyBorder="1" applyAlignment="1" applyProtection="1">
      <alignment horizontal="center" vertical="center"/>
      <protection/>
    </xf>
    <xf numFmtId="0" fontId="53" fillId="2" borderId="10" xfId="35" applyFont="1" applyFill="1" applyBorder="1" applyAlignment="1" applyProtection="1">
      <alignment wrapText="1"/>
      <protection/>
    </xf>
    <xf numFmtId="4" fontId="53" fillId="0" borderId="10" xfId="0" applyNumberFormat="1" applyFont="1" applyFill="1" applyBorder="1" applyAlignment="1">
      <alignment horizontal="center"/>
    </xf>
    <xf numFmtId="4" fontId="53" fillId="0" borderId="10" xfId="35" applyNumberFormat="1" applyFont="1" applyFill="1" applyBorder="1" applyAlignment="1" applyProtection="1">
      <alignment horizontal="center" vertical="center"/>
      <protection locked="0"/>
    </xf>
    <xf numFmtId="0" fontId="53" fillId="2" borderId="10" xfId="35" applyFont="1" applyFill="1" applyBorder="1" applyProtection="1">
      <alignment/>
      <protection/>
    </xf>
    <xf numFmtId="4" fontId="53" fillId="0" borderId="10" xfId="35" applyNumberFormat="1" applyFont="1" applyFill="1" applyBorder="1" applyAlignment="1" applyProtection="1">
      <alignment horizontal="center"/>
      <protection/>
    </xf>
    <xf numFmtId="2" fontId="53" fillId="0" borderId="10" xfId="35" applyNumberFormat="1" applyFont="1" applyFill="1" applyBorder="1" applyAlignment="1" applyProtection="1">
      <alignment horizontal="center"/>
      <protection/>
    </xf>
    <xf numFmtId="2" fontId="53" fillId="0" borderId="10" xfId="35" applyNumberFormat="1" applyFont="1" applyFill="1" applyBorder="1" applyAlignment="1" applyProtection="1">
      <alignment horizontal="center" vertical="center"/>
      <protection/>
    </xf>
    <xf numFmtId="0" fontId="56" fillId="2" borderId="10" xfId="35" applyFont="1" applyFill="1" applyBorder="1" applyAlignment="1" applyProtection="1">
      <alignment horizontal="left" vertical="center" wrapText="1"/>
      <protection/>
    </xf>
    <xf numFmtId="4" fontId="53" fillId="2" borderId="10" xfId="35" applyNumberFormat="1" applyFont="1" applyFill="1" applyBorder="1" applyAlignment="1" applyProtection="1">
      <alignment horizontal="center" vertical="center"/>
      <protection locked="0"/>
    </xf>
    <xf numFmtId="0" fontId="53" fillId="2" borderId="21" xfId="35" applyFont="1" applyFill="1" applyBorder="1" applyAlignment="1" applyProtection="1">
      <alignment horizontal="center" vertical="center" wrapText="1"/>
      <protection/>
    </xf>
    <xf numFmtId="0" fontId="53" fillId="2" borderId="10" xfId="35" applyFont="1" applyFill="1" applyBorder="1" applyAlignment="1" applyProtection="1">
      <alignment horizontal="center" vertical="top" wrapText="1"/>
      <protection/>
    </xf>
    <xf numFmtId="0" fontId="56" fillId="2" borderId="10" xfId="35" applyFont="1" applyFill="1" applyBorder="1" applyAlignment="1" applyProtection="1">
      <alignment horizontal="left" vertical="top" wrapText="1"/>
      <protection/>
    </xf>
    <xf numFmtId="0" fontId="53" fillId="2" borderId="21" xfId="35" applyFont="1" applyFill="1" applyBorder="1" applyAlignment="1" applyProtection="1">
      <alignment horizontal="center" vertical="center"/>
      <protection/>
    </xf>
    <xf numFmtId="0" fontId="53" fillId="2" borderId="10" xfId="35" applyFont="1" applyFill="1" applyBorder="1" applyAlignment="1" applyProtection="1">
      <alignment horizontal="left" vertical="top" wrapText="1"/>
      <protection/>
    </xf>
    <xf numFmtId="0" fontId="53" fillId="2" borderId="20" xfId="35" applyFont="1" applyFill="1" applyBorder="1" applyAlignment="1" applyProtection="1">
      <alignment horizontal="center" vertical="center"/>
      <protection/>
    </xf>
    <xf numFmtId="0" fontId="53" fillId="2" borderId="10" xfId="35" applyFont="1" applyFill="1" applyBorder="1" applyAlignment="1" applyProtection="1">
      <alignment horizontal="center" vertical="center"/>
      <protection/>
    </xf>
    <xf numFmtId="3" fontId="53" fillId="0" borderId="10" xfId="35" applyNumberFormat="1" applyFont="1" applyFill="1" applyBorder="1" applyAlignment="1" applyProtection="1">
      <alignment horizontal="center" vertical="center"/>
      <protection locked="0"/>
    </xf>
    <xf numFmtId="3" fontId="53" fillId="0" borderId="20" xfId="35" applyNumberFormat="1" applyFont="1" applyFill="1" applyBorder="1" applyAlignment="1" applyProtection="1">
      <alignment horizontal="center" vertical="center"/>
      <protection/>
    </xf>
    <xf numFmtId="4" fontId="53" fillId="0" borderId="20" xfId="35" applyNumberFormat="1" applyFont="1" applyFill="1" applyBorder="1" applyAlignment="1" applyProtection="1">
      <alignment horizontal="center" vertical="center"/>
      <protection/>
    </xf>
    <xf numFmtId="0" fontId="53" fillId="2" borderId="10" xfId="35" applyFont="1" applyFill="1" applyBorder="1" applyAlignment="1" applyProtection="1">
      <alignment vertical="center"/>
      <protection/>
    </xf>
    <xf numFmtId="3" fontId="53" fillId="0" borderId="10" xfId="35" applyNumberFormat="1" applyFont="1" applyFill="1" applyBorder="1" applyAlignment="1" applyProtection="1">
      <alignment horizontal="center" vertical="center"/>
      <protection/>
    </xf>
    <xf numFmtId="10" fontId="53" fillId="0" borderId="20" xfId="35" applyNumberFormat="1" applyFont="1" applyFill="1" applyBorder="1" applyAlignment="1" applyProtection="1">
      <alignment horizontal="center" vertical="center"/>
      <protection/>
    </xf>
    <xf numFmtId="0" fontId="53" fillId="2" borderId="21" xfId="35" applyFont="1" applyFill="1" applyBorder="1" applyAlignment="1" applyProtection="1">
      <alignment vertical="center"/>
      <protection/>
    </xf>
    <xf numFmtId="10" fontId="53" fillId="0" borderId="10" xfId="35" applyNumberFormat="1" applyFont="1" applyFill="1" applyBorder="1" applyAlignment="1" applyProtection="1">
      <alignment horizontal="center" vertical="center"/>
      <protection locked="0"/>
    </xf>
    <xf numFmtId="4" fontId="53" fillId="0" borderId="20" xfId="35" applyNumberFormat="1" applyFont="1" applyFill="1" applyBorder="1" applyAlignment="1" applyProtection="1">
      <alignment horizontal="center" vertical="center" wrapText="1"/>
      <protection locked="0"/>
    </xf>
    <xf numFmtId="3" fontId="55" fillId="0" borderId="0" xfId="64" applyNumberFormat="1" applyFont="1" applyFill="1" applyBorder="1" applyAlignment="1">
      <alignment horizontal="left" vertical="center"/>
      <protection/>
    </xf>
    <xf numFmtId="3" fontId="13" fillId="0" borderId="0" xfId="64" applyNumberFormat="1" applyFont="1" applyFill="1" applyAlignment="1">
      <alignment horizontal="center" vertical="center" wrapText="1"/>
      <protection/>
    </xf>
    <xf numFmtId="3" fontId="13" fillId="0" borderId="0" xfId="64" applyNumberFormat="1" applyFont="1" applyFill="1">
      <alignment/>
      <protection/>
    </xf>
    <xf numFmtId="3" fontId="13" fillId="0" borderId="0" xfId="64" applyNumberFormat="1" applyFont="1" applyAlignment="1">
      <alignment horizontal="center" vertical="center" wrapText="1"/>
      <protection/>
    </xf>
    <xf numFmtId="3" fontId="13" fillId="0" borderId="0" xfId="64" applyNumberFormat="1" applyFont="1" applyBorder="1" applyAlignment="1">
      <alignment horizontal="center" vertical="center" wrapText="1"/>
      <protection/>
    </xf>
    <xf numFmtId="188" fontId="13" fillId="0" borderId="0" xfId="64" applyNumberFormat="1" applyFont="1" applyAlignment="1">
      <alignment horizontal="center" vertical="center" wrapText="1"/>
      <protection/>
    </xf>
    <xf numFmtId="3" fontId="13" fillId="0" borderId="0" xfId="64" applyNumberFormat="1" applyFont="1" applyFill="1" applyBorder="1" applyAlignment="1">
      <alignment horizontal="center" vertical="center" wrapText="1"/>
      <protection/>
    </xf>
    <xf numFmtId="3" fontId="13" fillId="0" borderId="0" xfId="64" applyNumberFormat="1" applyFont="1">
      <alignment/>
      <protection/>
    </xf>
    <xf numFmtId="3" fontId="54" fillId="0" borderId="0" xfId="64" applyNumberFormat="1" applyFont="1" applyAlignment="1">
      <alignment horizontal="left" vertical="center"/>
      <protection/>
    </xf>
    <xf numFmtId="3" fontId="54" fillId="0" borderId="0" xfId="64" applyNumberFormat="1" applyFont="1" applyBorder="1" applyAlignment="1">
      <alignment horizontal="right" vertical="center"/>
      <protection/>
    </xf>
    <xf numFmtId="3" fontId="54" fillId="0" borderId="0" xfId="64" applyNumberFormat="1" applyFont="1" applyBorder="1" applyAlignment="1">
      <alignment horizontal="left" vertical="center"/>
      <protection/>
    </xf>
    <xf numFmtId="3" fontId="13" fillId="0" borderId="0" xfId="64" applyNumberFormat="1" applyFont="1" applyAlignment="1">
      <alignment horizontal="left" vertical="center"/>
      <protection/>
    </xf>
    <xf numFmtId="3" fontId="54" fillId="0" borderId="54" xfId="64" applyNumberFormat="1" applyFont="1" applyBorder="1" applyAlignment="1">
      <alignment horizontal="center" vertical="center" wrapText="1"/>
      <protection/>
    </xf>
    <xf numFmtId="3" fontId="54" fillId="0" borderId="37" xfId="64" applyNumberFormat="1" applyFont="1" applyBorder="1" applyAlignment="1">
      <alignment horizontal="center" vertical="center" wrapText="1"/>
      <protection/>
    </xf>
    <xf numFmtId="3" fontId="54" fillId="0" borderId="38" xfId="64" applyNumberFormat="1" applyFont="1" applyBorder="1" applyAlignment="1">
      <alignment horizontal="center" vertical="center" wrapText="1"/>
      <protection/>
    </xf>
    <xf numFmtId="3" fontId="54" fillId="0" borderId="0" xfId="64" applyNumberFormat="1" applyFont="1" applyBorder="1" applyAlignment="1">
      <alignment horizontal="center" vertical="center" wrapText="1"/>
      <protection/>
    </xf>
    <xf numFmtId="0" fontId="61" fillId="3" borderId="55" xfId="64" applyFont="1" applyFill="1" applyBorder="1" applyAlignment="1">
      <alignment horizontal="center" vertical="center" wrapText="1"/>
      <protection/>
    </xf>
    <xf numFmtId="0" fontId="61" fillId="3" borderId="56" xfId="64" applyFont="1" applyFill="1" applyBorder="1" applyAlignment="1">
      <alignment horizontal="center" vertical="center" wrapText="1"/>
      <protection/>
    </xf>
    <xf numFmtId="0" fontId="61" fillId="0" borderId="0" xfId="64" applyFont="1" applyFill="1" applyBorder="1" applyAlignment="1">
      <alignment horizontal="center" vertical="center" wrapText="1"/>
      <protection/>
    </xf>
    <xf numFmtId="3" fontId="62" fillId="3" borderId="55" xfId="64" applyNumberFormat="1" applyFont="1" applyFill="1" applyBorder="1" applyAlignment="1">
      <alignment horizontal="center" vertical="center" wrapText="1"/>
      <protection/>
    </xf>
    <xf numFmtId="3" fontId="62" fillId="3" borderId="56" xfId="64" applyNumberFormat="1" applyFont="1" applyFill="1" applyBorder="1">
      <alignment/>
      <protection/>
    </xf>
    <xf numFmtId="0" fontId="61" fillId="3" borderId="54" xfId="64" applyFont="1" applyFill="1" applyBorder="1" applyAlignment="1">
      <alignment horizontal="center" vertical="center" wrapText="1"/>
      <protection/>
    </xf>
    <xf numFmtId="3" fontId="54" fillId="0" borderId="55" xfId="64" applyNumberFormat="1" applyFont="1" applyBorder="1" applyAlignment="1">
      <alignment horizontal="center" vertical="center" wrapText="1"/>
      <protection/>
    </xf>
    <xf numFmtId="3" fontId="54" fillId="0" borderId="57" xfId="64" applyNumberFormat="1" applyFont="1" applyBorder="1" applyAlignment="1">
      <alignment horizontal="center" vertical="center" wrapText="1"/>
      <protection/>
    </xf>
    <xf numFmtId="0" fontId="61" fillId="3" borderId="58" xfId="64" applyFont="1" applyFill="1" applyBorder="1" applyAlignment="1">
      <alignment horizontal="center" vertical="center" wrapText="1"/>
      <protection/>
    </xf>
    <xf numFmtId="0" fontId="61" fillId="3" borderId="16" xfId="64" applyFont="1" applyFill="1" applyBorder="1" applyAlignment="1">
      <alignment horizontal="center" vertical="center" wrapText="1"/>
      <protection/>
    </xf>
    <xf numFmtId="0" fontId="61" fillId="3" borderId="13" xfId="64" applyFont="1" applyFill="1" applyBorder="1" applyAlignment="1">
      <alignment horizontal="center" vertical="center" wrapText="1"/>
      <protection/>
    </xf>
    <xf numFmtId="0" fontId="61" fillId="3" borderId="50" xfId="64" applyFont="1" applyFill="1" applyBorder="1" applyAlignment="1">
      <alignment horizontal="center" vertical="center" wrapText="1"/>
      <protection/>
    </xf>
    <xf numFmtId="0" fontId="54" fillId="0" borderId="50" xfId="64" applyFont="1" applyBorder="1" applyAlignment="1">
      <alignment horizontal="center" vertical="center" wrapText="1"/>
      <protection/>
    </xf>
    <xf numFmtId="0" fontId="62" fillId="3" borderId="50" xfId="64" applyFont="1" applyFill="1" applyBorder="1" applyAlignment="1">
      <alignment horizontal="center" vertical="center" wrapText="1"/>
      <protection/>
    </xf>
    <xf numFmtId="3" fontId="54" fillId="0" borderId="50" xfId="64" applyNumberFormat="1" applyFont="1" applyBorder="1" applyAlignment="1">
      <alignment horizontal="center" vertical="center" wrapText="1"/>
      <protection/>
    </xf>
    <xf numFmtId="0" fontId="61" fillId="3" borderId="59" xfId="64" applyFont="1" applyFill="1" applyBorder="1" applyAlignment="1">
      <alignment horizontal="center" vertical="center" wrapText="1"/>
      <protection/>
    </xf>
    <xf numFmtId="0" fontId="61" fillId="3" borderId="60" xfId="64" applyFont="1" applyFill="1" applyBorder="1" applyAlignment="1">
      <alignment horizontal="center" vertical="center" wrapText="1"/>
      <protection/>
    </xf>
    <xf numFmtId="0" fontId="54" fillId="0" borderId="37" xfId="64" applyFont="1" applyBorder="1" applyAlignment="1">
      <alignment horizontal="center" vertical="center" wrapText="1"/>
      <protection/>
    </xf>
    <xf numFmtId="188" fontId="54" fillId="0" borderId="37" xfId="64" applyNumberFormat="1" applyFont="1" applyBorder="1" applyAlignment="1">
      <alignment horizontal="center" vertical="center" wrapText="1"/>
      <protection/>
    </xf>
    <xf numFmtId="3" fontId="54" fillId="0" borderId="40" xfId="64" applyNumberFormat="1" applyFont="1" applyBorder="1" applyAlignment="1">
      <alignment horizontal="center" vertical="center" wrapText="1"/>
      <protection/>
    </xf>
    <xf numFmtId="188" fontId="54" fillId="0" borderId="50" xfId="64" applyNumberFormat="1" applyFont="1" applyBorder="1" applyAlignment="1">
      <alignment horizontal="center" vertical="center" wrapText="1"/>
      <protection/>
    </xf>
    <xf numFmtId="3" fontId="54" fillId="0" borderId="60" xfId="64" applyNumberFormat="1" applyFont="1" applyBorder="1" applyAlignment="1">
      <alignment horizontal="center" vertical="center" wrapText="1"/>
      <protection/>
    </xf>
    <xf numFmtId="3" fontId="61" fillId="3" borderId="55" xfId="64" applyNumberFormat="1" applyFont="1" applyFill="1" applyBorder="1" applyAlignment="1">
      <alignment horizontal="center" vertical="center" wrapText="1"/>
      <protection/>
    </xf>
    <xf numFmtId="0" fontId="54" fillId="0" borderId="40" xfId="64" applyFont="1" applyBorder="1" applyAlignment="1">
      <alignment horizontal="center" vertical="center" wrapText="1"/>
      <protection/>
    </xf>
    <xf numFmtId="0" fontId="54" fillId="0" borderId="0" xfId="64" applyFont="1" applyBorder="1" applyAlignment="1">
      <alignment horizontal="center" vertical="center" wrapText="1"/>
      <protection/>
    </xf>
    <xf numFmtId="3" fontId="61" fillId="3" borderId="54" xfId="64" applyNumberFormat="1" applyFont="1" applyFill="1" applyBorder="1" applyAlignment="1">
      <alignment horizontal="center" vertical="center" wrapText="1"/>
      <protection/>
    </xf>
    <xf numFmtId="3" fontId="61" fillId="0" borderId="0" xfId="64" applyNumberFormat="1" applyFont="1" applyFill="1" applyBorder="1" applyAlignment="1">
      <alignment horizontal="center" vertical="center" wrapText="1"/>
      <protection/>
    </xf>
    <xf numFmtId="3" fontId="61" fillId="3" borderId="57" xfId="64" applyNumberFormat="1" applyFont="1" applyFill="1" applyBorder="1" applyAlignment="1">
      <alignment horizontal="center" vertical="center" wrapText="1"/>
      <protection/>
    </xf>
    <xf numFmtId="3" fontId="54" fillId="0" borderId="37" xfId="64" applyNumberFormat="1" applyFont="1" applyBorder="1" applyAlignment="1">
      <alignment horizontal="center" vertical="center"/>
      <protection/>
    </xf>
    <xf numFmtId="3" fontId="13" fillId="0" borderId="40" xfId="64" applyNumberFormat="1" applyFont="1" applyFill="1" applyBorder="1" applyAlignment="1">
      <alignment horizontal="center" vertical="center"/>
      <protection/>
    </xf>
    <xf numFmtId="3" fontId="13" fillId="0" borderId="37" xfId="64" applyNumberFormat="1" applyFont="1" applyBorder="1" applyAlignment="1" applyProtection="1">
      <alignment horizontal="center" vertical="center"/>
      <protection locked="0"/>
    </xf>
    <xf numFmtId="3" fontId="62" fillId="3" borderId="40" xfId="64" applyNumberFormat="1" applyFont="1" applyFill="1" applyBorder="1" applyAlignment="1">
      <alignment horizontal="center" vertical="center"/>
      <protection/>
    </xf>
    <xf numFmtId="3" fontId="13" fillId="0" borderId="40" xfId="64" applyNumberFormat="1" applyFont="1" applyBorder="1" applyAlignment="1" applyProtection="1">
      <alignment horizontal="center" vertical="center"/>
      <protection locked="0"/>
    </xf>
    <xf numFmtId="3" fontId="13" fillId="0" borderId="38" xfId="64" applyNumberFormat="1" applyFont="1" applyBorder="1" applyAlignment="1" applyProtection="1">
      <alignment horizontal="center" vertical="center"/>
      <protection locked="0"/>
    </xf>
    <xf numFmtId="3" fontId="13" fillId="0" borderId="40" xfId="64" applyNumberFormat="1" applyFont="1" applyBorder="1" applyAlignment="1">
      <alignment horizontal="center" vertical="center"/>
      <protection/>
    </xf>
    <xf numFmtId="3" fontId="13" fillId="0" borderId="0" xfId="64" applyNumberFormat="1" applyFont="1" applyBorder="1" applyAlignment="1" applyProtection="1">
      <alignment horizontal="center" vertical="center"/>
      <protection locked="0"/>
    </xf>
    <xf numFmtId="3" fontId="62" fillId="3" borderId="28" xfId="64" applyNumberFormat="1" applyFont="1" applyFill="1" applyBorder="1" applyAlignment="1">
      <alignment horizontal="center" vertical="center"/>
      <protection/>
    </xf>
    <xf numFmtId="3" fontId="62" fillId="3" borderId="61" xfId="64" applyNumberFormat="1" applyFont="1" applyFill="1" applyBorder="1" applyAlignment="1">
      <alignment horizontal="center" vertical="center"/>
      <protection/>
    </xf>
    <xf numFmtId="3" fontId="62" fillId="0" borderId="0" xfId="64" applyNumberFormat="1" applyFont="1" applyFill="1" applyBorder="1" applyAlignment="1">
      <alignment horizontal="center" vertical="center"/>
      <protection/>
    </xf>
    <xf numFmtId="3" fontId="54" fillId="0" borderId="37" xfId="64" applyNumberFormat="1" applyFont="1" applyFill="1" applyBorder="1" applyAlignment="1">
      <alignment horizontal="center" vertical="center"/>
      <protection/>
    </xf>
    <xf numFmtId="3" fontId="13" fillId="0" borderId="38" xfId="64" applyNumberFormat="1" applyFont="1" applyFill="1" applyBorder="1" applyAlignment="1" applyProtection="1">
      <alignment horizontal="center" vertical="center"/>
      <protection locked="0"/>
    </xf>
    <xf numFmtId="3" fontId="13" fillId="0" borderId="62" xfId="64" applyNumberFormat="1" applyFont="1" applyBorder="1" applyAlignment="1" applyProtection="1">
      <alignment horizontal="center" vertical="center"/>
      <protection locked="0"/>
    </xf>
    <xf numFmtId="3" fontId="62" fillId="0" borderId="62" xfId="64" applyNumberFormat="1" applyFont="1" applyFill="1" applyBorder="1" applyAlignment="1">
      <alignment horizontal="center" vertical="center"/>
      <protection/>
    </xf>
    <xf numFmtId="3" fontId="13" fillId="0" borderId="40" xfId="64" applyNumberFormat="1" applyFont="1" applyFill="1" applyBorder="1" applyAlignment="1" applyProtection="1">
      <alignment horizontal="center" vertical="center"/>
      <protection locked="0"/>
    </xf>
    <xf numFmtId="3" fontId="13" fillId="0" borderId="59" xfId="64" applyNumberFormat="1" applyFont="1" applyBorder="1" applyAlignment="1" applyProtection="1">
      <alignment horizontal="center" vertical="center"/>
      <protection locked="0"/>
    </xf>
    <xf numFmtId="3" fontId="13" fillId="0" borderId="50" xfId="64" applyNumberFormat="1" applyFont="1" applyBorder="1" applyAlignment="1" applyProtection="1">
      <alignment horizontal="center" vertical="center"/>
      <protection locked="0"/>
    </xf>
    <xf numFmtId="3" fontId="54" fillId="0" borderId="40" xfId="64" applyNumberFormat="1" applyFont="1" applyBorder="1" applyAlignment="1">
      <alignment horizontal="center" vertical="center"/>
      <protection/>
    </xf>
    <xf numFmtId="3" fontId="61" fillId="3" borderId="40" xfId="64" applyNumberFormat="1" applyFont="1" applyFill="1" applyBorder="1" applyAlignment="1">
      <alignment horizontal="center" vertical="center"/>
      <protection/>
    </xf>
    <xf numFmtId="3" fontId="54" fillId="0" borderId="0" xfId="64" applyNumberFormat="1" applyFont="1" applyBorder="1" applyAlignment="1">
      <alignment horizontal="center" vertical="center"/>
      <protection/>
    </xf>
    <xf numFmtId="3" fontId="61" fillId="3" borderId="37" xfId="64" applyNumberFormat="1" applyFont="1" applyFill="1" applyBorder="1" applyAlignment="1">
      <alignment horizontal="center" vertical="center"/>
      <protection/>
    </xf>
    <xf numFmtId="3" fontId="61" fillId="0" borderId="0" xfId="64" applyNumberFormat="1" applyFont="1" applyFill="1" applyBorder="1" applyAlignment="1">
      <alignment horizontal="center" vertical="center"/>
      <protection/>
    </xf>
    <xf numFmtId="3" fontId="54" fillId="0" borderId="40" xfId="64" applyNumberFormat="1" applyFont="1" applyFill="1" applyBorder="1" applyAlignment="1">
      <alignment horizontal="center" vertical="center"/>
      <protection/>
    </xf>
    <xf numFmtId="3" fontId="61" fillId="0" borderId="40" xfId="64" applyNumberFormat="1" applyFont="1" applyFill="1" applyBorder="1" applyAlignment="1">
      <alignment horizontal="center" vertical="center"/>
      <protection/>
    </xf>
    <xf numFmtId="3" fontId="61" fillId="0" borderId="62" xfId="64" applyNumberFormat="1" applyFont="1" applyFill="1" applyBorder="1" applyAlignment="1">
      <alignment horizontal="center" vertical="center"/>
      <protection/>
    </xf>
    <xf numFmtId="3" fontId="54" fillId="0" borderId="0" xfId="64" applyNumberFormat="1" applyFont="1">
      <alignment/>
      <protection/>
    </xf>
    <xf numFmtId="3" fontId="13" fillId="0" borderId="0" xfId="64" applyNumberFormat="1" applyFont="1" applyBorder="1">
      <alignment/>
      <protection/>
    </xf>
    <xf numFmtId="3" fontId="13" fillId="0" borderId="0" xfId="64" applyNumberFormat="1" applyFont="1" applyBorder="1" applyAlignment="1">
      <alignment horizontal="center" vertical="center"/>
      <protection/>
    </xf>
    <xf numFmtId="0" fontId="13" fillId="0" borderId="0" xfId="64" applyFont="1" applyBorder="1" applyAlignment="1" quotePrefix="1">
      <alignment horizontal="center" vertical="center"/>
      <protection/>
    </xf>
    <xf numFmtId="0" fontId="13" fillId="0" borderId="0" xfId="64" applyFont="1" applyBorder="1" applyAlignment="1">
      <alignment horizontal="center" vertical="center"/>
      <protection/>
    </xf>
    <xf numFmtId="3" fontId="13" fillId="0" borderId="0" xfId="64" applyNumberFormat="1" applyFont="1" applyFill="1" applyBorder="1">
      <alignment/>
      <protection/>
    </xf>
    <xf numFmtId="3" fontId="13" fillId="0" borderId="0" xfId="64" applyNumberFormat="1" applyFont="1" applyFill="1" applyBorder="1" applyAlignment="1">
      <alignment horizontal="center"/>
      <protection/>
    </xf>
    <xf numFmtId="3" fontId="54" fillId="0" borderId="0" xfId="64" applyNumberFormat="1" applyFont="1" applyFill="1" applyAlignment="1">
      <alignment horizontal="left" vertical="center"/>
      <protection/>
    </xf>
    <xf numFmtId="3" fontId="54" fillId="0" borderId="0" xfId="64" applyNumberFormat="1" applyFont="1" applyFill="1" applyBorder="1" applyAlignment="1">
      <alignment horizontal="right" vertical="center"/>
      <protection/>
    </xf>
    <xf numFmtId="188" fontId="13" fillId="0" borderId="0" xfId="64" applyNumberFormat="1" applyFont="1" applyFill="1" applyAlignment="1">
      <alignment horizontal="center"/>
      <protection/>
    </xf>
    <xf numFmtId="3" fontId="13" fillId="0" borderId="0" xfId="64" applyNumberFormat="1" applyFont="1" applyFill="1" applyAlignment="1">
      <alignment horizontal="center"/>
      <protection/>
    </xf>
    <xf numFmtId="3" fontId="54" fillId="0" borderId="63" xfId="64" applyNumberFormat="1" applyFont="1" applyFill="1" applyBorder="1" applyAlignment="1">
      <alignment horizontal="right" vertical="center"/>
      <protection/>
    </xf>
    <xf numFmtId="3" fontId="54" fillId="0" borderId="63" xfId="64" applyNumberFormat="1" applyFont="1" applyFill="1" applyBorder="1" applyAlignment="1">
      <alignment horizontal="right" vertical="center" wrapText="1"/>
      <protection/>
    </xf>
    <xf numFmtId="3" fontId="13" fillId="0" borderId="37" xfId="64" applyNumberFormat="1" applyFont="1" applyBorder="1" applyAlignment="1">
      <alignment horizontal="center" vertical="center"/>
      <protection/>
    </xf>
    <xf numFmtId="3" fontId="63" fillId="2" borderId="40" xfId="64" applyNumberFormat="1" applyFont="1" applyFill="1" applyBorder="1" applyAlignment="1">
      <alignment horizontal="center" vertical="center"/>
      <protection/>
    </xf>
    <xf numFmtId="3" fontId="63" fillId="2" borderId="37" xfId="64" applyNumberFormat="1" applyFont="1" applyFill="1" applyBorder="1" applyAlignment="1" applyProtection="1">
      <alignment horizontal="center" vertical="center"/>
      <protection locked="0"/>
    </xf>
    <xf numFmtId="3" fontId="13" fillId="2" borderId="40" xfId="64" applyNumberFormat="1" applyFont="1" applyFill="1" applyBorder="1" applyAlignment="1" applyProtection="1">
      <alignment horizontal="center" vertical="center"/>
      <protection locked="0"/>
    </xf>
    <xf numFmtId="3" fontId="13" fillId="2" borderId="59" xfId="64" applyNumberFormat="1" applyFont="1" applyFill="1" applyBorder="1" applyAlignment="1" applyProtection="1">
      <alignment horizontal="center" vertical="center"/>
      <protection locked="0"/>
    </xf>
    <xf numFmtId="3" fontId="13" fillId="2" borderId="50" xfId="64" applyNumberFormat="1" applyFont="1" applyFill="1" applyBorder="1" applyAlignment="1" applyProtection="1">
      <alignment horizontal="center" vertical="center"/>
      <protection locked="0"/>
    </xf>
    <xf numFmtId="0" fontId="13" fillId="0" borderId="40" xfId="0" applyFont="1" applyBorder="1" applyAlignment="1">
      <alignment horizontal="center"/>
    </xf>
    <xf numFmtId="3" fontId="54" fillId="0" borderId="62" xfId="64" applyNumberFormat="1" applyFont="1" applyBorder="1" applyAlignment="1">
      <alignment horizontal="center" vertical="center"/>
      <protection/>
    </xf>
    <xf numFmtId="3" fontId="54" fillId="2" borderId="40" xfId="64" applyNumberFormat="1" applyFont="1" applyFill="1" applyBorder="1" applyAlignment="1">
      <alignment horizontal="center" vertical="center"/>
      <protection/>
    </xf>
    <xf numFmtId="3" fontId="13" fillId="2" borderId="0" xfId="64" applyNumberFormat="1" applyFont="1" applyFill="1">
      <alignment/>
      <protection/>
    </xf>
    <xf numFmtId="3" fontId="64" fillId="0" borderId="0" xfId="64" applyNumberFormat="1" applyFont="1" applyBorder="1" applyAlignment="1">
      <alignment horizontal="center" vertical="center"/>
      <protection/>
    </xf>
    <xf numFmtId="3" fontId="54" fillId="0" borderId="63" xfId="64" applyNumberFormat="1" applyFont="1" applyBorder="1" applyAlignment="1">
      <alignment horizontal="center" vertical="center"/>
      <protection/>
    </xf>
    <xf numFmtId="3" fontId="54" fillId="2" borderId="40" xfId="64" applyNumberFormat="1" applyFont="1" applyFill="1" applyBorder="1" applyAlignment="1">
      <alignment horizontal="center" vertical="center" wrapText="1"/>
      <protection/>
    </xf>
    <xf numFmtId="0" fontId="54" fillId="2" borderId="37" xfId="64" applyFont="1" applyFill="1" applyBorder="1" applyAlignment="1">
      <alignment horizontal="center" vertical="center" wrapText="1"/>
      <protection/>
    </xf>
    <xf numFmtId="0" fontId="54" fillId="2" borderId="40" xfId="64" applyFont="1" applyFill="1" applyBorder="1" applyAlignment="1">
      <alignment horizontal="center" vertical="center" wrapText="1"/>
      <protection/>
    </xf>
    <xf numFmtId="3" fontId="13" fillId="2" borderId="40" xfId="64" applyNumberFormat="1" applyFont="1" applyFill="1" applyBorder="1" applyAlignment="1">
      <alignment horizontal="center" vertical="center"/>
      <protection/>
    </xf>
    <xf numFmtId="3" fontId="13" fillId="2" borderId="37" xfId="64" applyNumberFormat="1" applyFont="1" applyFill="1" applyBorder="1" applyAlignment="1" applyProtection="1">
      <alignment horizontal="center" vertical="center"/>
      <protection locked="0"/>
    </xf>
    <xf numFmtId="3" fontId="61" fillId="3" borderId="62" xfId="64" applyNumberFormat="1" applyFont="1" applyFill="1" applyBorder="1" applyAlignment="1">
      <alignment horizontal="center" vertical="center"/>
      <protection/>
    </xf>
    <xf numFmtId="3" fontId="54" fillId="0" borderId="0" xfId="64" applyNumberFormat="1" applyFont="1" applyBorder="1">
      <alignment/>
      <protection/>
    </xf>
    <xf numFmtId="3" fontId="13" fillId="0" borderId="0" xfId="64" applyNumberFormat="1" applyFont="1" applyBorder="1" applyAlignment="1">
      <alignment horizontal="left" vertical="center"/>
      <protection/>
    </xf>
    <xf numFmtId="188" fontId="54" fillId="0" borderId="40" xfId="64" applyNumberFormat="1" applyFont="1" applyBorder="1" applyAlignment="1">
      <alignment horizontal="center" vertical="center" wrapText="1"/>
      <protection/>
    </xf>
    <xf numFmtId="3" fontId="65" fillId="3" borderId="37" xfId="64" applyNumberFormat="1" applyFont="1" applyFill="1" applyBorder="1" applyAlignment="1">
      <alignment horizontal="center" vertical="center" wrapText="1"/>
      <protection/>
    </xf>
    <xf numFmtId="0" fontId="54" fillId="0" borderId="54" xfId="64" applyFont="1" applyBorder="1" applyAlignment="1">
      <alignment horizontal="center" vertical="center" wrapText="1"/>
      <protection/>
    </xf>
    <xf numFmtId="3" fontId="61" fillId="3" borderId="40" xfId="64" applyNumberFormat="1" applyFont="1" applyFill="1" applyBorder="1" applyAlignment="1">
      <alignment horizontal="center" vertical="center" wrapText="1"/>
      <protection/>
    </xf>
    <xf numFmtId="0" fontId="61" fillId="3" borderId="40" xfId="64" applyFont="1" applyFill="1" applyBorder="1" applyAlignment="1">
      <alignment horizontal="center" vertical="center" wrapText="1"/>
      <protection/>
    </xf>
    <xf numFmtId="3" fontId="65" fillId="3" borderId="55" xfId="64" applyNumberFormat="1" applyFont="1" applyFill="1" applyBorder="1" applyAlignment="1">
      <alignment horizontal="center" vertical="center" wrapText="1"/>
      <protection/>
    </xf>
    <xf numFmtId="3" fontId="65" fillId="3" borderId="57" xfId="64" applyNumberFormat="1" applyFont="1" applyFill="1" applyBorder="1" applyAlignment="1">
      <alignment horizontal="center" vertical="center" wrapText="1"/>
      <protection/>
    </xf>
    <xf numFmtId="3" fontId="13" fillId="0" borderId="64" xfId="64" applyNumberFormat="1" applyFont="1" applyBorder="1" applyAlignment="1">
      <alignment horizontal="center" vertical="center" wrapText="1"/>
      <protection/>
    </xf>
    <xf numFmtId="3" fontId="13" fillId="0" borderId="18" xfId="64" applyNumberFormat="1" applyFont="1" applyBorder="1" applyAlignment="1">
      <alignment horizontal="center" vertical="center" wrapText="1"/>
      <protection/>
    </xf>
    <xf numFmtId="3" fontId="13" fillId="0" borderId="29" xfId="64" applyNumberFormat="1" applyFont="1" applyBorder="1" applyAlignment="1">
      <alignment horizontal="center" vertical="center" wrapText="1"/>
      <protection/>
    </xf>
    <xf numFmtId="3" fontId="13" fillId="0" borderId="61" xfId="64" applyNumberFormat="1" applyFont="1" applyBorder="1" applyAlignment="1">
      <alignment horizontal="center" vertical="center" wrapText="1"/>
      <protection/>
    </xf>
    <xf numFmtId="3" fontId="62" fillId="3" borderId="18" xfId="64" applyNumberFormat="1" applyFont="1" applyFill="1" applyBorder="1" applyAlignment="1">
      <alignment horizontal="center" vertical="center"/>
      <protection/>
    </xf>
    <xf numFmtId="3" fontId="13" fillId="0" borderId="40" xfId="35" applyNumberFormat="1" applyFont="1" applyBorder="1" applyAlignment="1">
      <alignment horizontal="center" vertical="center"/>
      <protection/>
    </xf>
    <xf numFmtId="3" fontId="13" fillId="0" borderId="65" xfId="64" applyNumberFormat="1" applyFont="1" applyBorder="1" applyAlignment="1">
      <alignment horizontal="center" vertical="center" wrapText="1"/>
      <protection/>
    </xf>
    <xf numFmtId="3" fontId="62" fillId="3" borderId="45" xfId="64" applyNumberFormat="1" applyFont="1" applyFill="1" applyBorder="1" applyAlignment="1">
      <alignment horizontal="center" vertical="center"/>
      <protection/>
    </xf>
    <xf numFmtId="3" fontId="13" fillId="0" borderId="58" xfId="64" applyNumberFormat="1" applyFont="1" applyBorder="1" applyAlignment="1">
      <alignment horizontal="center" vertical="center" wrapText="1"/>
      <protection/>
    </xf>
    <xf numFmtId="3" fontId="13" fillId="0" borderId="13" xfId="64" applyNumberFormat="1" applyFont="1" applyBorder="1" applyAlignment="1">
      <alignment horizontal="center" vertical="center" wrapText="1"/>
      <protection/>
    </xf>
    <xf numFmtId="3" fontId="62" fillId="3" borderId="66" xfId="64" applyNumberFormat="1" applyFont="1" applyFill="1" applyBorder="1" applyAlignment="1">
      <alignment horizontal="center" vertical="center"/>
      <protection/>
    </xf>
    <xf numFmtId="3" fontId="62" fillId="3" borderId="36" xfId="64" applyNumberFormat="1" applyFont="1" applyFill="1" applyBorder="1" applyAlignment="1">
      <alignment horizontal="center" vertical="center"/>
      <protection/>
    </xf>
    <xf numFmtId="3" fontId="13" fillId="0" borderId="40" xfId="64" applyNumberFormat="1" applyFont="1" applyBorder="1" applyAlignment="1">
      <alignment horizontal="center" vertical="center" wrapText="1"/>
      <protection/>
    </xf>
    <xf numFmtId="3" fontId="13" fillId="0" borderId="37" xfId="64" applyNumberFormat="1" applyFont="1" applyBorder="1" applyAlignment="1">
      <alignment horizontal="center" vertical="center" wrapText="1"/>
      <protection/>
    </xf>
    <xf numFmtId="3" fontId="13" fillId="0" borderId="38" xfId="64" applyNumberFormat="1" applyFont="1" applyBorder="1" applyAlignment="1">
      <alignment horizontal="center" vertical="center" wrapText="1"/>
      <protection/>
    </xf>
    <xf numFmtId="0" fontId="53" fillId="0" borderId="10" xfId="64" applyFont="1" applyFill="1" applyBorder="1" applyAlignment="1" applyProtection="1">
      <alignment horizontal="center" vertical="center" wrapText="1"/>
      <protection/>
    </xf>
    <xf numFmtId="0" fontId="13" fillId="0" borderId="10" xfId="64" applyFont="1" applyFill="1" applyBorder="1" applyAlignment="1" applyProtection="1">
      <alignment horizontal="center" vertical="center" wrapText="1"/>
      <protection locked="0"/>
    </xf>
    <xf numFmtId="194" fontId="13" fillId="0" borderId="10" xfId="64" applyNumberFormat="1" applyFont="1" applyFill="1" applyBorder="1" applyAlignment="1" applyProtection="1">
      <alignment horizontal="center" vertical="center" wrapText="1"/>
      <protection locked="0"/>
    </xf>
    <xf numFmtId="0" fontId="13" fillId="0" borderId="10" xfId="64" applyFont="1" applyBorder="1" applyAlignment="1" applyProtection="1">
      <alignment horizontal="center" vertical="center" wrapText="1"/>
      <protection locked="0"/>
    </xf>
    <xf numFmtId="0" fontId="13" fillId="0" borderId="10" xfId="64" applyFont="1" applyBorder="1" applyAlignment="1" applyProtection="1">
      <alignment vertical="center" wrapText="1"/>
      <protection locked="0"/>
    </xf>
    <xf numFmtId="0" fontId="18" fillId="0" borderId="10" xfId="70" applyFont="1" applyBorder="1" applyAlignment="1">
      <alignment horizontal="center"/>
      <protection/>
    </xf>
    <xf numFmtId="0" fontId="53" fillId="0" borderId="10" xfId="64" applyFont="1" applyBorder="1" applyAlignment="1" applyProtection="1">
      <alignment horizontal="center" vertical="center" wrapText="1"/>
      <protection/>
    </xf>
    <xf numFmtId="0" fontId="13" fillId="0" borderId="10" xfId="64" applyFont="1" applyBorder="1" applyAlignment="1" applyProtection="1">
      <alignment horizontal="center" vertical="center" wrapText="1"/>
      <protection/>
    </xf>
    <xf numFmtId="0" fontId="13" fillId="0" borderId="10" xfId="64" applyFont="1" applyBorder="1" applyAlignment="1" applyProtection="1">
      <alignment horizontal="left" vertical="center" wrapText="1"/>
      <protection/>
    </xf>
    <xf numFmtId="3" fontId="13" fillId="0" borderId="10" xfId="64" applyNumberFormat="1" applyFont="1" applyFill="1" applyBorder="1" applyAlignment="1" applyProtection="1">
      <alignment horizontal="center" vertical="center" wrapText="1"/>
      <protection locked="0"/>
    </xf>
    <xf numFmtId="10" fontId="13" fillId="0" borderId="10" xfId="64" applyNumberFormat="1" applyFont="1" applyFill="1" applyBorder="1" applyAlignment="1" applyProtection="1">
      <alignment horizontal="center" vertical="center" wrapText="1"/>
      <protection/>
    </xf>
    <xf numFmtId="0" fontId="13" fillId="0" borderId="10" xfId="64" applyFont="1" applyFill="1" applyBorder="1" applyAlignment="1" applyProtection="1">
      <alignment horizontal="center" vertical="center" wrapText="1"/>
      <protection/>
    </xf>
    <xf numFmtId="0" fontId="13" fillId="0" borderId="10" xfId="64" applyFont="1" applyFill="1" applyBorder="1" applyAlignment="1" applyProtection="1">
      <alignment horizontal="left" vertical="center" wrapText="1"/>
      <protection/>
    </xf>
    <xf numFmtId="3" fontId="13" fillId="0" borderId="10" xfId="64" applyNumberFormat="1" applyFont="1" applyFill="1" applyBorder="1" applyAlignment="1" applyProtection="1">
      <alignment horizontal="center" vertical="center" wrapText="1"/>
      <protection/>
    </xf>
    <xf numFmtId="0" fontId="53" fillId="0" borderId="10" xfId="64" applyNumberFormat="1" applyFont="1" applyBorder="1" applyAlignment="1" applyProtection="1">
      <alignment horizontal="center" vertical="center" wrapText="1"/>
      <protection/>
    </xf>
    <xf numFmtId="1" fontId="53" fillId="0" borderId="10" xfId="64" applyNumberFormat="1" applyFont="1" applyFill="1" applyBorder="1" applyAlignment="1" applyProtection="1">
      <alignment horizontal="center" vertical="center" wrapText="1"/>
      <protection/>
    </xf>
    <xf numFmtId="3" fontId="13" fillId="2" borderId="10" xfId="64" applyNumberFormat="1" applyFont="1" applyFill="1" applyBorder="1" applyAlignment="1" applyProtection="1">
      <alignment horizontal="center" vertical="center" wrapText="1"/>
      <protection locked="0"/>
    </xf>
    <xf numFmtId="1" fontId="13" fillId="0" borderId="67" xfId="64" applyNumberFormat="1" applyFont="1" applyBorder="1" applyAlignment="1" applyProtection="1">
      <alignment horizontal="center" vertical="center" wrapText="1"/>
      <protection/>
    </xf>
    <xf numFmtId="0" fontId="18" fillId="0" borderId="10" xfId="64" applyFont="1" applyFill="1" applyBorder="1" applyAlignment="1" applyProtection="1">
      <alignment horizontal="center" vertical="center" wrapText="1"/>
      <protection/>
    </xf>
    <xf numFmtId="0" fontId="53" fillId="0" borderId="10" xfId="64" applyFont="1" applyFill="1" applyBorder="1" applyAlignment="1" applyProtection="1">
      <alignment horizontal="center" vertical="center"/>
      <protection/>
    </xf>
    <xf numFmtId="0" fontId="13" fillId="0" borderId="10" xfId="64" applyFont="1" applyBorder="1" applyAlignment="1" applyProtection="1">
      <alignment horizontal="center" vertical="center"/>
      <protection/>
    </xf>
    <xf numFmtId="0" fontId="13" fillId="0" borderId="10" xfId="64" applyFont="1" applyBorder="1" applyAlignment="1" applyProtection="1">
      <alignment horizontal="left" vertical="center"/>
      <protection/>
    </xf>
    <xf numFmtId="3" fontId="13" fillId="2" borderId="10" xfId="64" applyNumberFormat="1" applyFont="1" applyFill="1" applyBorder="1" applyAlignment="1" applyProtection="1">
      <alignment horizontal="center" vertical="center"/>
      <protection locked="0"/>
    </xf>
    <xf numFmtId="10" fontId="13" fillId="2" borderId="10" xfId="64" applyNumberFormat="1" applyFont="1" applyFill="1" applyBorder="1" applyAlignment="1" applyProtection="1">
      <alignment horizontal="center" vertical="center"/>
      <protection/>
    </xf>
    <xf numFmtId="10" fontId="13" fillId="0" borderId="10" xfId="64" applyNumberFormat="1" applyFont="1" applyFill="1" applyBorder="1" applyAlignment="1" applyProtection="1">
      <alignment horizontal="center" vertical="center"/>
      <protection/>
    </xf>
    <xf numFmtId="0" fontId="13" fillId="0" borderId="10" xfId="64" applyFont="1" applyFill="1" applyBorder="1" applyAlignment="1" applyProtection="1">
      <alignment horizontal="center" vertical="center"/>
      <protection/>
    </xf>
    <xf numFmtId="0" fontId="13" fillId="0" borderId="10" xfId="64" applyFont="1" applyFill="1" applyBorder="1" applyAlignment="1" applyProtection="1">
      <alignment horizontal="left" vertical="center"/>
      <protection/>
    </xf>
    <xf numFmtId="3" fontId="13" fillId="2" borderId="10" xfId="64" applyNumberFormat="1" applyFont="1" applyFill="1" applyBorder="1" applyAlignment="1" applyProtection="1">
      <alignment horizontal="center" vertical="center"/>
      <protection/>
    </xf>
    <xf numFmtId="0" fontId="53" fillId="0" borderId="10" xfId="71" applyNumberFormat="1" applyFont="1" applyBorder="1" applyAlignment="1" applyProtection="1">
      <alignment horizontal="center" vertical="center" wrapText="1"/>
      <protection/>
    </xf>
    <xf numFmtId="0" fontId="53" fillId="0" borderId="10" xfId="71" applyFont="1" applyBorder="1" applyAlignment="1" applyProtection="1">
      <alignment horizontal="center" vertical="center" wrapText="1"/>
      <protection/>
    </xf>
    <xf numFmtId="0" fontId="53" fillId="0" borderId="10" xfId="71" applyFont="1" applyBorder="1" applyAlignment="1" applyProtection="1">
      <alignment horizontal="center" vertical="center" wrapText="1"/>
      <protection locked="0"/>
    </xf>
    <xf numFmtId="1" fontId="53" fillId="0" borderId="10" xfId="71" applyNumberFormat="1" applyFont="1" applyFill="1" applyBorder="1" applyAlignment="1" applyProtection="1">
      <alignment horizontal="center" vertical="center" wrapText="1"/>
      <protection/>
    </xf>
    <xf numFmtId="0" fontId="53" fillId="0" borderId="10" xfId="71" applyFont="1" applyFill="1" applyBorder="1" applyAlignment="1" applyProtection="1">
      <alignment horizontal="center" vertical="center" wrapText="1"/>
      <protection/>
    </xf>
    <xf numFmtId="0" fontId="53" fillId="0" borderId="10" xfId="71" applyFont="1" applyFill="1" applyBorder="1" applyAlignment="1" applyProtection="1">
      <alignment horizontal="center" vertical="center" wrapText="1"/>
      <protection locked="0"/>
    </xf>
    <xf numFmtId="0" fontId="13" fillId="0" borderId="21" xfId="35" applyFont="1" applyFill="1" applyBorder="1" applyAlignment="1">
      <alignment horizontal="center"/>
      <protection/>
    </xf>
    <xf numFmtId="0" fontId="13" fillId="0" borderId="21" xfId="35" applyFont="1" applyBorder="1" applyAlignment="1">
      <alignment horizontal="center"/>
      <protection/>
    </xf>
    <xf numFmtId="49" fontId="13" fillId="0" borderId="21" xfId="35" applyNumberFormat="1" applyFont="1" applyBorder="1" applyAlignment="1">
      <alignment horizontal="center"/>
      <protection/>
    </xf>
    <xf numFmtId="0" fontId="13" fillId="0" borderId="21" xfId="35" applyFont="1" applyBorder="1">
      <alignment/>
      <protection/>
    </xf>
    <xf numFmtId="0" fontId="53" fillId="0" borderId="21" xfId="71" applyFont="1" applyFill="1" applyBorder="1" applyAlignment="1" applyProtection="1">
      <alignment horizontal="center" vertical="center" wrapText="1"/>
      <protection/>
    </xf>
    <xf numFmtId="0" fontId="13" fillId="0" borderId="21" xfId="35" applyFont="1" applyBorder="1" applyAlignment="1">
      <alignment horizontal="center" vertical="center"/>
      <protection/>
    </xf>
    <xf numFmtId="0" fontId="13" fillId="0" borderId="21" xfId="35" applyFont="1" applyFill="1" applyBorder="1" applyAlignment="1" applyProtection="1">
      <alignment horizontal="center" vertical="center" wrapText="1"/>
      <protection locked="0"/>
    </xf>
    <xf numFmtId="0" fontId="13" fillId="0" borderId="21" xfId="71" applyFont="1" applyFill="1" applyBorder="1" applyAlignment="1" applyProtection="1">
      <alignment horizontal="center" vertical="center" wrapText="1"/>
      <protection locked="0"/>
    </xf>
    <xf numFmtId="0" fontId="13" fillId="0" borderId="20" xfId="35" applyFont="1" applyFill="1" applyBorder="1" applyAlignment="1">
      <alignment horizontal="center"/>
      <protection/>
    </xf>
    <xf numFmtId="0" fontId="13" fillId="0" borderId="20" xfId="0" applyFont="1" applyBorder="1" applyAlignment="1">
      <alignment horizontal="center" vertical="center" wrapText="1"/>
    </xf>
    <xf numFmtId="0" fontId="13" fillId="0" borderId="20" xfId="35" applyFont="1" applyBorder="1" applyAlignment="1">
      <alignment horizontal="center"/>
      <protection/>
    </xf>
    <xf numFmtId="49" fontId="13" fillId="0" borderId="20" xfId="35" applyNumberFormat="1" applyFont="1" applyBorder="1" applyAlignment="1">
      <alignment horizontal="center"/>
      <protection/>
    </xf>
    <xf numFmtId="0" fontId="13" fillId="0" borderId="20" xfId="35" applyFont="1" applyBorder="1">
      <alignment/>
      <protection/>
    </xf>
    <xf numFmtId="0" fontId="53" fillId="0" borderId="20" xfId="71" applyFont="1" applyFill="1" applyBorder="1" applyAlignment="1" applyProtection="1">
      <alignment horizontal="center" vertical="center" wrapText="1"/>
      <protection/>
    </xf>
    <xf numFmtId="0" fontId="13" fillId="0" borderId="20" xfId="35" applyFont="1" applyBorder="1" applyAlignment="1">
      <alignment horizontal="center" vertical="center"/>
      <protection/>
    </xf>
    <xf numFmtId="0" fontId="13" fillId="0" borderId="20" xfId="35" applyFont="1" applyBorder="1" applyAlignment="1" applyProtection="1">
      <alignment horizontal="center" vertical="center" wrapText="1"/>
      <protection locked="0"/>
    </xf>
    <xf numFmtId="0" fontId="13" fillId="0" borderId="20" xfId="71" applyFont="1" applyBorder="1" applyAlignment="1" applyProtection="1">
      <alignment horizontal="center" vertical="center" wrapText="1"/>
      <protection locked="0"/>
    </xf>
    <xf numFmtId="0" fontId="13" fillId="0" borderId="21" xfId="64" applyFont="1" applyBorder="1" applyAlignment="1">
      <alignment horizontal="center"/>
      <protection/>
    </xf>
    <xf numFmtId="0" fontId="13" fillId="0" borderId="20" xfId="64" applyFont="1" applyBorder="1" applyAlignment="1">
      <alignment horizontal="center"/>
      <protection/>
    </xf>
    <xf numFmtId="0" fontId="13" fillId="0" borderId="19" xfId="35" applyFont="1" applyBorder="1" applyAlignment="1">
      <alignment horizontal="center"/>
      <protection/>
    </xf>
    <xf numFmtId="0" fontId="13" fillId="0" borderId="19" xfId="64" applyFont="1" applyBorder="1" applyAlignment="1">
      <alignment horizontal="center"/>
      <protection/>
    </xf>
    <xf numFmtId="0" fontId="13" fillId="0" borderId="19" xfId="35" applyFont="1" applyFill="1" applyBorder="1" applyAlignment="1">
      <alignment horizontal="center"/>
      <protection/>
    </xf>
    <xf numFmtId="0" fontId="13" fillId="2" borderId="21" xfId="35" applyFont="1" applyFill="1" applyBorder="1" applyAlignment="1">
      <alignment horizontal="center"/>
      <protection/>
    </xf>
    <xf numFmtId="0" fontId="13" fillId="2" borderId="19" xfId="35" applyFont="1" applyFill="1" applyBorder="1" applyAlignment="1">
      <alignment horizontal="center"/>
      <protection/>
    </xf>
    <xf numFmtId="0" fontId="13" fillId="0" borderId="19" xfId="35" applyFont="1" applyBorder="1" applyAlignment="1" applyProtection="1">
      <alignment horizontal="center" vertical="center" wrapText="1"/>
      <protection locked="0"/>
    </xf>
    <xf numFmtId="0" fontId="13" fillId="0" borderId="19" xfId="35" applyFont="1" applyBorder="1" applyAlignment="1">
      <alignment horizontal="center" vertical="center"/>
      <protection/>
    </xf>
    <xf numFmtId="1" fontId="13" fillId="0" borderId="68" xfId="71" applyNumberFormat="1" applyFont="1" applyBorder="1" applyAlignment="1" applyProtection="1">
      <alignment horizontal="center" vertical="center" wrapText="1"/>
      <protection locked="0"/>
    </xf>
    <xf numFmtId="1" fontId="13" fillId="0" borderId="21" xfId="35" applyNumberFormat="1" applyFont="1" applyFill="1" applyBorder="1" applyAlignment="1" applyProtection="1">
      <alignment horizontal="center" vertical="center" wrapText="1"/>
      <protection locked="0"/>
    </xf>
    <xf numFmtId="0" fontId="13" fillId="0" borderId="21" xfId="35" applyFont="1" applyBorder="1" applyAlignment="1" applyProtection="1">
      <alignment horizontal="center" vertical="center" wrapText="1"/>
      <protection locked="0"/>
    </xf>
    <xf numFmtId="0" fontId="13" fillId="0" borderId="67" xfId="35" applyFont="1" applyBorder="1" applyAlignment="1">
      <alignment horizontal="center"/>
      <protection/>
    </xf>
    <xf numFmtId="0" fontId="13" fillId="0" borderId="21" xfId="64" applyFont="1" applyBorder="1" applyAlignment="1" applyProtection="1">
      <alignment horizontal="center" vertical="center" wrapText="1"/>
      <protection locked="0"/>
    </xf>
    <xf numFmtId="1" fontId="13" fillId="0" borderId="20" xfId="35" applyNumberFormat="1" applyFont="1" applyFill="1" applyBorder="1" applyAlignment="1" applyProtection="1">
      <alignment horizontal="center" vertical="center" wrapText="1"/>
      <protection locked="0"/>
    </xf>
    <xf numFmtId="0" fontId="13" fillId="0" borderId="0" xfId="35" applyFont="1" applyBorder="1" applyAlignment="1" applyProtection="1">
      <alignment horizontal="center" vertical="center" wrapText="1"/>
      <protection locked="0"/>
    </xf>
    <xf numFmtId="0" fontId="13" fillId="0" borderId="20" xfId="64" applyFont="1" applyBorder="1" applyAlignment="1" applyProtection="1">
      <alignment horizontal="center" vertical="center" wrapText="1"/>
      <protection locked="0"/>
    </xf>
    <xf numFmtId="1" fontId="13" fillId="0" borderId="68" xfId="35" applyNumberFormat="1" applyFont="1" applyFill="1" applyBorder="1" applyAlignment="1" applyProtection="1">
      <alignment horizontal="center" vertical="center" wrapText="1"/>
      <protection locked="0"/>
    </xf>
    <xf numFmtId="0" fontId="13" fillId="0" borderId="21" xfId="35" applyFont="1" applyBorder="1" applyAlignment="1" applyProtection="1">
      <alignment horizontal="left" vertical="center" wrapText="1"/>
      <protection locked="0"/>
    </xf>
    <xf numFmtId="0" fontId="13" fillId="0" borderId="10" xfId="71" applyFont="1" applyBorder="1" applyAlignment="1" applyProtection="1">
      <alignment horizontal="center" vertical="center" wrapText="1"/>
      <protection locked="0"/>
    </xf>
    <xf numFmtId="0" fontId="13" fillId="0" borderId="19" xfId="71" applyFont="1" applyBorder="1" applyAlignment="1" applyProtection="1">
      <alignment horizontal="center" vertical="center" wrapText="1"/>
      <protection locked="0"/>
    </xf>
    <xf numFmtId="0" fontId="13" fillId="0" borderId="21" xfId="64" applyFont="1" applyBorder="1" applyAlignment="1" applyProtection="1">
      <alignment horizontal="center"/>
      <protection/>
    </xf>
    <xf numFmtId="0" fontId="13" fillId="0" borderId="20" xfId="64" applyFont="1" applyBorder="1" applyAlignment="1" applyProtection="1">
      <alignment horizontal="center"/>
      <protection/>
    </xf>
    <xf numFmtId="0" fontId="13" fillId="0" borderId="68" xfId="35" applyFont="1" applyBorder="1" applyAlignment="1" applyProtection="1">
      <alignment horizontal="center" vertical="center" wrapText="1"/>
      <protection locked="0"/>
    </xf>
    <xf numFmtId="1" fontId="13" fillId="0" borderId="10" xfId="35" applyNumberFormat="1" applyFont="1" applyFill="1" applyBorder="1" applyAlignment="1" applyProtection="1">
      <alignment horizontal="center" vertical="center" wrapText="1"/>
      <protection locked="0"/>
    </xf>
    <xf numFmtId="0" fontId="13" fillId="0" borderId="69" xfId="35" applyFont="1" applyBorder="1" applyAlignment="1">
      <alignment horizontal="center"/>
      <protection/>
    </xf>
    <xf numFmtId="0" fontId="13" fillId="0" borderId="25" xfId="35" applyFont="1" applyBorder="1" applyAlignment="1" applyProtection="1">
      <alignment horizontal="center" vertical="center" wrapText="1"/>
      <protection locked="0"/>
    </xf>
    <xf numFmtId="0" fontId="13" fillId="0" borderId="70" xfId="35" applyFont="1" applyBorder="1" applyAlignment="1">
      <alignment horizontal="center"/>
      <protection/>
    </xf>
    <xf numFmtId="0" fontId="13" fillId="0" borderId="23" xfId="35" applyFont="1" applyBorder="1" applyAlignment="1" applyProtection="1">
      <alignment horizontal="center" vertical="center" wrapText="1"/>
      <protection locked="0"/>
    </xf>
    <xf numFmtId="0" fontId="13" fillId="0" borderId="10" xfId="35" applyFont="1" applyBorder="1" applyAlignment="1" applyProtection="1">
      <alignment horizontal="center" vertical="center" wrapText="1"/>
      <protection locked="0"/>
    </xf>
    <xf numFmtId="0" fontId="13" fillId="0" borderId="10" xfId="35" applyFont="1" applyBorder="1" applyAlignment="1">
      <alignment horizontal="center" vertical="center"/>
      <protection/>
    </xf>
    <xf numFmtId="0" fontId="13" fillId="0" borderId="10" xfId="35" applyFont="1" applyBorder="1" applyAlignment="1">
      <alignment horizontal="center" vertical="center" wrapText="1"/>
      <protection/>
    </xf>
    <xf numFmtId="1" fontId="13" fillId="0" borderId="71" xfId="71" applyNumberFormat="1" applyFont="1" applyFill="1" applyBorder="1" applyAlignment="1" applyProtection="1">
      <alignment horizontal="center" vertical="center"/>
      <protection locked="0"/>
    </xf>
    <xf numFmtId="1" fontId="13" fillId="0" borderId="23" xfId="71" applyNumberFormat="1" applyFont="1" applyFill="1" applyBorder="1" applyAlignment="1" applyProtection="1">
      <alignment horizontal="center" vertical="center"/>
      <protection locked="0"/>
    </xf>
    <xf numFmtId="0" fontId="13" fillId="0" borderId="20" xfId="71" applyFont="1" applyFill="1" applyBorder="1" applyAlignment="1" applyProtection="1">
      <alignment horizontal="center" vertical="center" wrapText="1"/>
      <protection locked="0"/>
    </xf>
    <xf numFmtId="3" fontId="13" fillId="0" borderId="20" xfId="71" applyNumberFormat="1" applyFont="1" applyFill="1" applyBorder="1" applyAlignment="1" applyProtection="1">
      <alignment horizontal="center" vertical="center" wrapText="1"/>
      <protection locked="0"/>
    </xf>
    <xf numFmtId="0" fontId="13" fillId="0" borderId="0" xfId="71" applyFont="1" applyAlignment="1" applyProtection="1">
      <alignment horizontal="center" vertical="center" wrapText="1"/>
      <protection locked="0"/>
    </xf>
    <xf numFmtId="1" fontId="13" fillId="0" borderId="0" xfId="71" applyNumberFormat="1" applyFont="1" applyBorder="1" applyAlignment="1" applyProtection="1">
      <alignment horizontal="center" vertical="center" wrapText="1"/>
      <protection locked="0"/>
    </xf>
    <xf numFmtId="0" fontId="13" fillId="0" borderId="0" xfId="71" applyFont="1" applyBorder="1" applyAlignment="1" applyProtection="1">
      <alignment horizontal="center" vertical="center" wrapText="1"/>
      <protection locked="0"/>
    </xf>
    <xf numFmtId="3" fontId="13" fillId="0" borderId="10" xfId="71" applyNumberFormat="1" applyFont="1" applyFill="1" applyBorder="1" applyAlignment="1" applyProtection="1">
      <alignment horizontal="center" vertical="center" wrapText="1"/>
      <protection locked="0"/>
    </xf>
    <xf numFmtId="1" fontId="18" fillId="0" borderId="10" xfId="64" applyNumberFormat="1" applyFont="1" applyFill="1" applyBorder="1" applyAlignment="1" applyProtection="1">
      <alignment horizontal="center" vertical="center" wrapText="1"/>
      <protection/>
    </xf>
    <xf numFmtId="0" fontId="13" fillId="0" borderId="10" xfId="64" applyNumberFormat="1" applyFont="1" applyFill="1" applyBorder="1" applyAlignment="1" applyProtection="1">
      <alignment horizontal="center" vertical="top"/>
      <protection/>
    </xf>
    <xf numFmtId="0" fontId="54" fillId="0" borderId="10" xfId="64" applyNumberFormat="1" applyFont="1" applyFill="1" applyBorder="1" applyAlignment="1" applyProtection="1">
      <alignment horizontal="left" vertical="top"/>
      <protection/>
    </xf>
    <xf numFmtId="0" fontId="13" fillId="0" borderId="10" xfId="64" applyNumberFormat="1" applyFont="1" applyFill="1" applyBorder="1" applyAlignment="1" applyProtection="1">
      <alignment horizontal="left" vertical="top"/>
      <protection/>
    </xf>
    <xf numFmtId="0" fontId="13" fillId="0" borderId="10" xfId="64" applyNumberFormat="1" applyFont="1" applyFill="1" applyBorder="1" applyAlignment="1" applyProtection="1">
      <alignment horizontal="center"/>
      <protection/>
    </xf>
    <xf numFmtId="0" fontId="13" fillId="0" borderId="10" xfId="64" applyNumberFormat="1" applyFont="1" applyFill="1" applyBorder="1" applyAlignment="1" applyProtection="1">
      <alignment horizontal="left"/>
      <protection/>
    </xf>
    <xf numFmtId="0" fontId="13" fillId="0" borderId="10" xfId="64" applyNumberFormat="1" applyFont="1" applyFill="1" applyBorder="1" applyAlignment="1" applyProtection="1">
      <alignment horizontal="left" indent="3"/>
      <protection/>
    </xf>
    <xf numFmtId="0" fontId="13" fillId="0" borderId="10" xfId="64" applyNumberFormat="1" applyFont="1" applyFill="1" applyBorder="1" applyAlignment="1" applyProtection="1">
      <alignment horizontal="right" vertical="top"/>
      <protection/>
    </xf>
    <xf numFmtId="0" fontId="56" fillId="0" borderId="10" xfId="35" applyFont="1" applyBorder="1" applyAlignment="1">
      <alignment horizontal="center" vertical="center" wrapText="1"/>
      <protection/>
    </xf>
    <xf numFmtId="0" fontId="13" fillId="0" borderId="10" xfId="0" applyFont="1" applyFill="1" applyBorder="1" applyAlignment="1">
      <alignment horizontal="left" wrapText="1"/>
    </xf>
    <xf numFmtId="3" fontId="13" fillId="0" borderId="10" xfId="0" applyNumberFormat="1" applyFont="1" applyFill="1" applyBorder="1" applyAlignment="1">
      <alignment horizontal="center" vertical="center"/>
    </xf>
    <xf numFmtId="10" fontId="13" fillId="0" borderId="10" xfId="0" applyNumberFormat="1" applyFont="1" applyBorder="1" applyAlignment="1">
      <alignment horizontal="center" vertical="center"/>
    </xf>
    <xf numFmtId="0" fontId="54" fillId="0" borderId="10" xfId="0" applyFont="1" applyFill="1" applyBorder="1" applyAlignment="1">
      <alignment horizontal="left" wrapText="1"/>
    </xf>
    <xf numFmtId="9" fontId="13" fillId="0" borderId="10" xfId="78" applyFont="1" applyFill="1" applyBorder="1" applyAlignment="1">
      <alignment horizontal="center" vertical="center"/>
    </xf>
    <xf numFmtId="49" fontId="53" fillId="0" borderId="10" xfId="68" applyNumberFormat="1" applyFont="1" applyFill="1" applyBorder="1" applyAlignment="1">
      <alignment horizontal="center" vertical="center" wrapText="1"/>
      <protection/>
    </xf>
    <xf numFmtId="1" fontId="53" fillId="0" borderId="10" xfId="68" applyNumberFormat="1" applyFont="1" applyFill="1" applyBorder="1" applyAlignment="1" applyProtection="1">
      <alignment horizontal="center" vertical="center" wrapText="1"/>
      <protection locked="0"/>
    </xf>
    <xf numFmtId="0" fontId="53" fillId="0" borderId="10" xfId="68" applyFont="1" applyFill="1" applyBorder="1" applyAlignment="1">
      <alignment horizontal="center" vertical="top" wrapText="1"/>
      <protection/>
    </xf>
    <xf numFmtId="0" fontId="13" fillId="0" borderId="10" xfId="68" applyFont="1" applyBorder="1" applyAlignment="1">
      <alignment horizontal="center"/>
      <protection/>
    </xf>
    <xf numFmtId="49" fontId="53" fillId="0" borderId="10" xfId="68" applyNumberFormat="1" applyFont="1" applyFill="1" applyBorder="1" applyAlignment="1">
      <alignment vertical="center" wrapText="1"/>
      <protection/>
    </xf>
    <xf numFmtId="3" fontId="53" fillId="0" borderId="10" xfId="36" applyNumberFormat="1" applyFont="1" applyFill="1" applyBorder="1" applyAlignment="1">
      <alignment horizontal="right" wrapText="1"/>
      <protection/>
    </xf>
    <xf numFmtId="3" fontId="53" fillId="2" borderId="10" xfId="36" applyNumberFormat="1" applyFont="1" applyFill="1" applyBorder="1" applyAlignment="1">
      <alignment horizontal="right" wrapText="1"/>
      <protection/>
    </xf>
    <xf numFmtId="0" fontId="53" fillId="0" borderId="10" xfId="68" applyFont="1" applyBorder="1">
      <alignment/>
      <protection/>
    </xf>
    <xf numFmtId="49" fontId="53" fillId="0" borderId="10" xfId="68" applyNumberFormat="1" applyFont="1" applyFill="1" applyBorder="1" applyAlignment="1">
      <alignment vertical="center" wrapText="1" shrinkToFit="1"/>
      <protection/>
    </xf>
    <xf numFmtId="195" fontId="53" fillId="0" borderId="10" xfId="36" applyNumberFormat="1" applyFont="1" applyFill="1" applyBorder="1" applyAlignment="1">
      <alignment horizontal="right" vertical="center" wrapText="1"/>
      <protection/>
    </xf>
    <xf numFmtId="195" fontId="53" fillId="0" borderId="10" xfId="68" applyNumberFormat="1" applyFont="1" applyBorder="1">
      <alignment/>
      <protection/>
    </xf>
    <xf numFmtId="195" fontId="53" fillId="2" borderId="10" xfId="36" applyNumberFormat="1" applyFont="1" applyFill="1" applyBorder="1" applyAlignment="1">
      <alignment horizontal="right" vertical="center" wrapText="1"/>
      <protection/>
    </xf>
    <xf numFmtId="0" fontId="53" fillId="0" borderId="10" xfId="68" applyFont="1" applyFill="1" applyBorder="1" applyAlignment="1">
      <alignment vertical="center" wrapText="1"/>
      <protection/>
    </xf>
    <xf numFmtId="195" fontId="53" fillId="0" borderId="10" xfId="77" applyNumberFormat="1" applyFont="1" applyFill="1" applyBorder="1" applyAlignment="1">
      <alignment horizontal="right" vertical="center" wrapText="1"/>
    </xf>
    <xf numFmtId="195" fontId="53" fillId="2" borderId="10" xfId="77" applyNumberFormat="1" applyFont="1" applyFill="1" applyBorder="1" applyAlignment="1">
      <alignment horizontal="right" vertical="center" wrapText="1"/>
    </xf>
    <xf numFmtId="0" fontId="53" fillId="0" borderId="10" xfId="36" applyFont="1" applyFill="1" applyBorder="1">
      <alignment/>
      <protection/>
    </xf>
    <xf numFmtId="0" fontId="53" fillId="2" borderId="10" xfId="36" applyFont="1" applyFill="1" applyBorder="1">
      <alignment/>
      <protection/>
    </xf>
    <xf numFmtId="49" fontId="53" fillId="0" borderId="10" xfId="68" applyNumberFormat="1" applyFont="1" applyFill="1" applyBorder="1" applyAlignment="1">
      <alignment horizontal="left" vertical="center" wrapText="1"/>
      <protection/>
    </xf>
    <xf numFmtId="1" fontId="53" fillId="0" borderId="10" xfId="36" applyNumberFormat="1" applyFont="1" applyFill="1" applyBorder="1" applyAlignment="1">
      <alignment horizontal="right" vertical="center" wrapText="1"/>
      <protection/>
    </xf>
    <xf numFmtId="1" fontId="53" fillId="2" borderId="10" xfId="36" applyNumberFormat="1" applyFont="1" applyFill="1" applyBorder="1" applyAlignment="1">
      <alignment horizontal="right" vertical="center" wrapText="1"/>
      <protection/>
    </xf>
    <xf numFmtId="195" fontId="53" fillId="2" borderId="10" xfId="68" applyNumberFormat="1" applyFont="1" applyFill="1" applyBorder="1">
      <alignment/>
      <protection/>
    </xf>
    <xf numFmtId="0" fontId="53" fillId="2" borderId="0" xfId="68" applyFont="1" applyFill="1">
      <alignment/>
      <protection/>
    </xf>
    <xf numFmtId="0" fontId="66" fillId="0" borderId="10" xfId="36" applyFont="1" applyBorder="1" applyAlignment="1">
      <alignment horizontal="center" vertical="center" wrapText="1"/>
      <protection/>
    </xf>
    <xf numFmtId="0" fontId="66" fillId="0" borderId="10" xfId="36" applyFont="1" applyBorder="1" applyAlignment="1">
      <alignment horizontal="left" vertical="center" wrapText="1"/>
      <protection/>
    </xf>
    <xf numFmtId="2" fontId="66" fillId="0" borderId="10" xfId="36" applyNumberFormat="1" applyFont="1" applyBorder="1" applyAlignment="1">
      <alignment horizontal="center" vertical="center" wrapText="1"/>
      <protection/>
    </xf>
    <xf numFmtId="0" fontId="66" fillId="2" borderId="10" xfId="36" applyFont="1" applyFill="1" applyBorder="1" applyAlignment="1">
      <alignment horizontal="center" vertical="center" wrapText="1"/>
      <protection/>
    </xf>
    <xf numFmtId="2" fontId="66" fillId="0" borderId="10" xfId="39" applyNumberFormat="1" applyFont="1" applyFill="1" applyBorder="1" applyAlignment="1">
      <alignment horizontal="center" vertical="center" wrapText="1"/>
      <protection/>
    </xf>
    <xf numFmtId="2" fontId="66" fillId="0" borderId="10" xfId="39" applyNumberFormat="1" applyFont="1" applyFill="1" applyBorder="1" applyAlignment="1">
      <alignment horizontal="center" vertical="center"/>
      <protection/>
    </xf>
    <xf numFmtId="0" fontId="47" fillId="0" borderId="10" xfId="63" applyFont="1" applyBorder="1" applyAlignment="1">
      <alignment horizontal="center" vertical="center" wrapText="1"/>
      <protection/>
    </xf>
    <xf numFmtId="0" fontId="47" fillId="0" borderId="10" xfId="63" applyFont="1" applyBorder="1" applyAlignment="1">
      <alignment horizontal="center" wrapText="1"/>
      <protection/>
    </xf>
    <xf numFmtId="2" fontId="66" fillId="0" borderId="10" xfId="36" applyNumberFormat="1" applyFont="1" applyBorder="1" applyAlignment="1">
      <alignment horizontal="right" vertical="center" wrapText="1"/>
      <protection/>
    </xf>
    <xf numFmtId="0" fontId="66" fillId="0" borderId="10" xfId="36" applyFont="1" applyBorder="1" applyAlignment="1">
      <alignment vertical="center" wrapText="1"/>
      <protection/>
    </xf>
    <xf numFmtId="2" fontId="66" fillId="0" borderId="10" xfId="36" applyNumberFormat="1" applyFont="1" applyBorder="1" applyAlignment="1">
      <alignment horizontal="center" wrapText="1"/>
      <protection/>
    </xf>
    <xf numFmtId="0" fontId="47" fillId="0" borderId="0" xfId="63" applyFont="1" applyAlignment="1">
      <alignment wrapText="1"/>
      <protection/>
    </xf>
    <xf numFmtId="0" fontId="47" fillId="0" borderId="10" xfId="63" applyFont="1" applyBorder="1" applyAlignment="1">
      <alignment horizontal="center" vertical="center"/>
      <protection/>
    </xf>
    <xf numFmtId="0" fontId="67" fillId="0" borderId="10" xfId="63" applyFont="1" applyBorder="1" applyAlignment="1">
      <alignment horizontal="center" vertical="center" wrapText="1"/>
      <protection/>
    </xf>
    <xf numFmtId="0" fontId="47" fillId="0" borderId="0" xfId="63" applyFont="1" applyAlignment="1">
      <alignment horizontal="center" vertical="center" wrapText="1"/>
      <protection/>
    </xf>
    <xf numFmtId="16" fontId="66" fillId="0" borderId="10" xfId="36" applyNumberFormat="1" applyFont="1" applyBorder="1" applyAlignment="1">
      <alignment horizontal="center" vertical="center" wrapText="1"/>
      <protection/>
    </xf>
    <xf numFmtId="0" fontId="13" fillId="0" borderId="10" xfId="36" applyFont="1" applyBorder="1" applyAlignment="1">
      <alignment vertical="center" wrapText="1"/>
      <protection/>
    </xf>
    <xf numFmtId="0" fontId="66" fillId="0" borderId="10" xfId="68" applyFont="1" applyBorder="1" applyAlignment="1">
      <alignment horizontal="left" vertical="center" wrapText="1"/>
      <protection/>
    </xf>
    <xf numFmtId="0" fontId="66" fillId="0" borderId="10" xfId="63" applyFont="1" applyBorder="1" applyAlignment="1">
      <alignment horizontal="justify" vertical="top" wrapText="1"/>
      <protection/>
    </xf>
    <xf numFmtId="0" fontId="66" fillId="0" borderId="10" xfId="63" applyFont="1" applyBorder="1" applyAlignment="1">
      <alignment horizontal="left" vertical="top" wrapText="1"/>
      <protection/>
    </xf>
    <xf numFmtId="0" fontId="66" fillId="0" borderId="10" xfId="63" applyFont="1" applyBorder="1">
      <alignment/>
      <protection/>
    </xf>
    <xf numFmtId="0" fontId="66" fillId="0" borderId="10" xfId="63" applyFont="1" applyBorder="1" applyAlignment="1">
      <alignment horizontal="left"/>
      <protection/>
    </xf>
    <xf numFmtId="0" fontId="66" fillId="0" borderId="10" xfId="63" applyFont="1" applyBorder="1" applyAlignment="1">
      <alignment horizontal="center" vertical="top" wrapText="1"/>
      <protection/>
    </xf>
    <xf numFmtId="0" fontId="47" fillId="0" borderId="10" xfId="63" applyFont="1" applyFill="1" applyBorder="1" applyAlignment="1">
      <alignment horizontal="center"/>
      <protection/>
    </xf>
    <xf numFmtId="0" fontId="66" fillId="0" borderId="10" xfId="36" applyFont="1" applyFill="1" applyBorder="1" applyAlignment="1">
      <alignment horizontal="center" vertical="center" wrapText="1"/>
      <protection/>
    </xf>
    <xf numFmtId="2" fontId="66" fillId="0" borderId="10" xfId="36" applyNumberFormat="1" applyFont="1" applyFill="1" applyBorder="1" applyAlignment="1">
      <alignment horizontal="center" vertical="center" wrapText="1"/>
      <protection/>
    </xf>
    <xf numFmtId="194" fontId="66" fillId="0" borderId="10" xfId="36" applyNumberFormat="1" applyFont="1" applyBorder="1" applyAlignment="1">
      <alignment horizontal="center" vertical="center" wrapText="1"/>
      <protection/>
    </xf>
    <xf numFmtId="1" fontId="66" fillId="0" borderId="10" xfId="36" applyNumberFormat="1" applyFont="1" applyBorder="1" applyAlignment="1">
      <alignment horizontal="center" vertical="center" wrapText="1"/>
      <protection/>
    </xf>
    <xf numFmtId="0" fontId="66" fillId="0" borderId="10" xfId="63" applyFont="1" applyFill="1" applyBorder="1" applyAlignment="1">
      <alignment horizontal="center" vertical="center" wrapText="1"/>
      <protection/>
    </xf>
    <xf numFmtId="0" fontId="66" fillId="0" borderId="10" xfId="63" applyFont="1" applyFill="1" applyBorder="1" applyAlignment="1">
      <alignment horizontal="center" vertical="center"/>
      <protection/>
    </xf>
    <xf numFmtId="0" fontId="66" fillId="0" borderId="10" xfId="63" applyFont="1" applyBorder="1" applyAlignment="1">
      <alignment horizontal="center" wrapText="1"/>
      <protection/>
    </xf>
    <xf numFmtId="0" fontId="66" fillId="0" borderId="10" xfId="63" applyFont="1" applyBorder="1" applyAlignment="1">
      <alignment horizontal="center"/>
      <protection/>
    </xf>
    <xf numFmtId="0" fontId="66" fillId="0" borderId="10" xfId="63" applyFont="1" applyBorder="1" applyAlignment="1">
      <alignment vertical="center" wrapText="1"/>
      <protection/>
    </xf>
    <xf numFmtId="0" fontId="66" fillId="0" borderId="10" xfId="63" applyFont="1" applyBorder="1" applyAlignment="1">
      <alignment wrapText="1"/>
      <protection/>
    </xf>
    <xf numFmtId="2" fontId="66" fillId="2" borderId="10" xfId="36" applyNumberFormat="1" applyFont="1" applyFill="1" applyBorder="1" applyAlignment="1">
      <alignment horizontal="center" vertical="center" wrapText="1"/>
      <protection/>
    </xf>
    <xf numFmtId="0" fontId="66" fillId="0" borderId="10" xfId="63" applyFont="1" applyBorder="1" applyAlignment="1">
      <alignment horizontal="center" vertical="center" wrapText="1"/>
      <protection/>
    </xf>
    <xf numFmtId="0" fontId="66" fillId="0" borderId="10" xfId="36" applyNumberFormat="1" applyFont="1" applyBorder="1" applyAlignment="1">
      <alignment horizontal="center" vertical="center" wrapText="1"/>
      <protection/>
    </xf>
    <xf numFmtId="49" fontId="47" fillId="0" borderId="10" xfId="63" applyNumberFormat="1" applyFont="1" applyBorder="1" applyAlignment="1">
      <alignment horizontal="center" vertical="center"/>
      <protection/>
    </xf>
    <xf numFmtId="49" fontId="47" fillId="0" borderId="10" xfId="63" applyNumberFormat="1" applyFont="1" applyBorder="1" applyAlignment="1">
      <alignment horizontal="center"/>
      <protection/>
    </xf>
    <xf numFmtId="49" fontId="47" fillId="0" borderId="10" xfId="63" applyNumberFormat="1" applyFont="1" applyBorder="1" applyAlignment="1">
      <alignment horizontal="left" vertical="center"/>
      <protection/>
    </xf>
    <xf numFmtId="49" fontId="47" fillId="0" borderId="10" xfId="63" applyNumberFormat="1" applyFont="1" applyBorder="1" applyAlignment="1">
      <alignment horizontal="center" vertical="center" wrapText="1"/>
      <protection/>
    </xf>
    <xf numFmtId="49" fontId="66" fillId="0" borderId="10" xfId="36" applyNumberFormat="1" applyFont="1" applyBorder="1" applyAlignment="1">
      <alignment horizontal="center" vertical="center" wrapText="1"/>
      <protection/>
    </xf>
    <xf numFmtId="0" fontId="53" fillId="0" borderId="10" xfId="36" applyFont="1" applyBorder="1" applyAlignment="1">
      <alignment horizontal="left" vertical="center" wrapText="1"/>
      <protection/>
    </xf>
    <xf numFmtId="0" fontId="53" fillId="0" borderId="10" xfId="39" applyFont="1" applyFill="1" applyBorder="1" applyAlignment="1">
      <alignment horizontal="left" vertical="center" wrapText="1"/>
      <protection/>
    </xf>
    <xf numFmtId="2" fontId="53" fillId="0" borderId="10" xfId="36" applyNumberFormat="1" applyFont="1" applyBorder="1" applyAlignment="1">
      <alignment horizontal="center" vertical="center" wrapText="1"/>
      <protection/>
    </xf>
    <xf numFmtId="1" fontId="53" fillId="0" borderId="10" xfId="36" applyNumberFormat="1" applyFont="1" applyBorder="1" applyAlignment="1">
      <alignment horizontal="center" vertical="center" wrapText="1"/>
      <protection/>
    </xf>
    <xf numFmtId="0" fontId="53" fillId="0" borderId="10" xfId="68" applyFont="1" applyBorder="1" applyAlignment="1">
      <alignment horizontal="left" vertical="center" wrapText="1"/>
      <protection/>
    </xf>
    <xf numFmtId="0" fontId="38" fillId="0" borderId="10" xfId="63" applyFont="1" applyBorder="1" applyAlignment="1">
      <alignment wrapText="1"/>
      <protection/>
    </xf>
    <xf numFmtId="2" fontId="53" fillId="0" borderId="10" xfId="68" applyNumberFormat="1" applyFont="1" applyBorder="1" applyAlignment="1">
      <alignment horizontal="center" vertical="center" wrapText="1"/>
      <protection/>
    </xf>
    <xf numFmtId="2" fontId="53" fillId="2" borderId="10" xfId="68" applyNumberFormat="1" applyFont="1" applyFill="1" applyBorder="1" applyAlignment="1">
      <alignment horizontal="center" vertical="center" wrapText="1"/>
      <protection/>
    </xf>
    <xf numFmtId="2" fontId="53" fillId="0" borderId="10" xfId="40" applyNumberFormat="1" applyFont="1" applyFill="1" applyBorder="1" applyAlignment="1">
      <alignment horizontal="center" vertical="center" wrapText="1"/>
      <protection/>
    </xf>
    <xf numFmtId="1" fontId="53" fillId="2" borderId="10" xfId="35" applyNumberFormat="1" applyFont="1" applyFill="1" applyBorder="1" applyAlignment="1" applyProtection="1">
      <alignment horizontal="center" vertical="center" wrapText="1"/>
      <protection locked="0"/>
    </xf>
    <xf numFmtId="1" fontId="53" fillId="0" borderId="10" xfId="35" applyNumberFormat="1" applyFont="1" applyFill="1" applyBorder="1" applyAlignment="1" applyProtection="1">
      <alignment horizontal="center" vertical="center" wrapText="1"/>
      <protection locked="0"/>
    </xf>
    <xf numFmtId="0" fontId="53" fillId="2" borderId="10" xfId="35" applyNumberFormat="1" applyFont="1" applyFill="1" applyBorder="1" applyAlignment="1" applyProtection="1">
      <alignment horizontal="center" vertical="center" wrapText="1"/>
      <protection locked="0"/>
    </xf>
    <xf numFmtId="3" fontId="53" fillId="2" borderId="10" xfId="35" applyNumberFormat="1" applyFont="1" applyFill="1" applyBorder="1" applyAlignment="1" applyProtection="1">
      <alignment horizontal="center" vertical="center" wrapText="1"/>
      <protection locked="0"/>
    </xf>
    <xf numFmtId="3" fontId="53" fillId="2" borderId="10" xfId="35" applyNumberFormat="1" applyFont="1" applyFill="1" applyBorder="1" applyAlignment="1" applyProtection="1">
      <alignment horizontal="center" vertical="center"/>
      <protection/>
    </xf>
    <xf numFmtId="0" fontId="53" fillId="2" borderId="10" xfId="35" applyFont="1" applyFill="1" applyBorder="1" applyAlignment="1" applyProtection="1">
      <alignment horizontal="center" wrapText="1"/>
      <protection/>
    </xf>
    <xf numFmtId="3" fontId="53" fillId="0" borderId="10" xfId="35" applyNumberFormat="1" applyFont="1" applyFill="1" applyBorder="1" applyAlignment="1" applyProtection="1">
      <alignment horizontal="center" vertical="center" wrapText="1"/>
      <protection locked="0"/>
    </xf>
    <xf numFmtId="4" fontId="53" fillId="2" borderId="10" xfId="35" applyNumberFormat="1" applyFont="1" applyFill="1" applyBorder="1" applyAlignment="1" applyProtection="1">
      <alignment horizontal="center" vertical="center" wrapText="1"/>
      <protection/>
    </xf>
    <xf numFmtId="4" fontId="53" fillId="2" borderId="10" xfId="35" applyNumberFormat="1" applyFont="1" applyFill="1" applyBorder="1" applyAlignment="1" applyProtection="1">
      <alignment horizontal="center" vertical="center" wrapText="1"/>
      <protection locked="0"/>
    </xf>
    <xf numFmtId="4" fontId="53" fillId="0" borderId="10" xfId="35" applyNumberFormat="1" applyFont="1" applyFill="1" applyBorder="1" applyAlignment="1" applyProtection="1">
      <alignment horizontal="center" vertical="center" wrapText="1"/>
      <protection/>
    </xf>
    <xf numFmtId="200" fontId="53" fillId="0" borderId="10" xfId="35" applyNumberFormat="1" applyFont="1" applyFill="1" applyBorder="1" applyAlignment="1" applyProtection="1">
      <alignment horizontal="center" vertical="center" wrapText="1"/>
      <protection locked="0"/>
    </xf>
    <xf numFmtId="0" fontId="53" fillId="2" borderId="10" xfId="35" applyFont="1" applyFill="1" applyBorder="1" applyAlignment="1" applyProtection="1">
      <alignment horizontal="left" vertical="top" wrapText="1" indent="3"/>
      <protection/>
    </xf>
    <xf numFmtId="2" fontId="53" fillId="2" borderId="10" xfId="35" applyNumberFormat="1" applyFont="1" applyFill="1" applyBorder="1" applyAlignment="1" applyProtection="1">
      <alignment horizontal="center" vertical="center" wrapText="1"/>
      <protection locked="0"/>
    </xf>
    <xf numFmtId="3" fontId="53" fillId="2" borderId="10" xfId="35" applyNumberFormat="1" applyFont="1" applyFill="1" applyBorder="1" applyAlignment="1" applyProtection="1">
      <alignment horizontal="center" vertical="center" wrapText="1"/>
      <protection/>
    </xf>
    <xf numFmtId="0" fontId="53" fillId="0" borderId="10" xfId="35" applyFont="1" applyFill="1" applyBorder="1" applyAlignment="1" applyProtection="1">
      <alignment horizontal="center" vertical="center" wrapText="1"/>
      <protection locked="0"/>
    </xf>
    <xf numFmtId="0" fontId="53" fillId="0" borderId="10" xfId="35" applyFont="1" applyFill="1" applyBorder="1" applyAlignment="1" applyProtection="1">
      <alignment horizontal="center" vertical="center"/>
      <protection locked="0"/>
    </xf>
    <xf numFmtId="0" fontId="53" fillId="0" borderId="10" xfId="35" applyFont="1" applyFill="1" applyBorder="1" applyAlignment="1" applyProtection="1">
      <alignment horizontal="center" vertical="center" wrapText="1"/>
      <protection/>
    </xf>
    <xf numFmtId="0" fontId="53" fillId="0" borderId="10" xfId="35" applyNumberFormat="1" applyFont="1" applyFill="1" applyBorder="1" applyAlignment="1" applyProtection="1">
      <alignment horizontal="center" vertical="center" wrapText="1"/>
      <protection/>
    </xf>
    <xf numFmtId="10" fontId="53" fillId="0" borderId="10" xfId="35" applyNumberFormat="1" applyFont="1" applyFill="1" applyBorder="1" applyAlignment="1" applyProtection="1">
      <alignment horizontal="center" vertical="center" wrapText="1"/>
      <protection/>
    </xf>
    <xf numFmtId="0" fontId="13" fillId="0" borderId="0" xfId="35" applyFont="1" applyBorder="1" applyProtection="1">
      <alignment/>
      <protection/>
    </xf>
    <xf numFmtId="10" fontId="13" fillId="0" borderId="0" xfId="35" applyNumberFormat="1" applyFont="1" applyBorder="1" applyProtection="1">
      <alignment/>
      <protection/>
    </xf>
    <xf numFmtId="0" fontId="13" fillId="0" borderId="0" xfId="35" applyFont="1" applyAlignment="1">
      <alignment horizontal="center" vertical="center" wrapText="1"/>
      <protection/>
    </xf>
    <xf numFmtId="0" fontId="18" fillId="0" borderId="0" xfId="67" applyFont="1" applyProtection="1">
      <alignment/>
      <protection hidden="1"/>
    </xf>
    <xf numFmtId="10" fontId="13" fillId="0" borderId="0" xfId="35" applyNumberFormat="1" applyFont="1" applyAlignment="1">
      <alignment horizontal="center" vertical="center" wrapText="1"/>
      <protection/>
    </xf>
    <xf numFmtId="4" fontId="13" fillId="0" borderId="0" xfId="35" applyNumberFormat="1" applyFont="1" applyAlignment="1">
      <alignment horizontal="center" vertical="center" wrapText="1"/>
      <protection/>
    </xf>
    <xf numFmtId="201" fontId="18" fillId="0" borderId="0" xfId="35" applyNumberFormat="1" applyFont="1" applyFill="1" applyBorder="1" applyAlignment="1" applyProtection="1">
      <alignment horizontal="center" vertical="center"/>
      <protection hidden="1"/>
    </xf>
    <xf numFmtId="4" fontId="53" fillId="0" borderId="0" xfId="68" applyNumberFormat="1" applyFont="1" applyAlignment="1">
      <alignment horizontal="center"/>
      <protection/>
    </xf>
    <xf numFmtId="193" fontId="53" fillId="0" borderId="0" xfId="35" applyNumberFormat="1" applyFont="1" applyFill="1" applyBorder="1" applyAlignment="1">
      <alignment horizontal="center" vertical="center"/>
      <protection/>
    </xf>
    <xf numFmtId="2" fontId="13" fillId="0" borderId="0" xfId="35" applyNumberFormat="1" applyFont="1" applyFill="1" applyBorder="1" applyAlignment="1">
      <alignment horizontal="center" vertical="center"/>
      <protection/>
    </xf>
    <xf numFmtId="193" fontId="18" fillId="0" borderId="0" xfId="35" applyNumberFormat="1" applyFont="1" applyFill="1" applyBorder="1" applyAlignment="1">
      <alignment horizontal="center" vertical="center"/>
      <protection/>
    </xf>
    <xf numFmtId="0" fontId="53" fillId="0" borderId="0" xfId="35" applyFont="1" applyAlignment="1">
      <alignment horizontal="center" vertical="center" wrapText="1"/>
      <protection/>
    </xf>
    <xf numFmtId="0" fontId="13" fillId="0" borderId="0" xfId="35" applyFont="1" applyAlignment="1" applyProtection="1">
      <alignment vertical="center"/>
      <protection/>
    </xf>
    <xf numFmtId="4" fontId="53" fillId="0" borderId="0" xfId="35" applyNumberFormat="1" applyFont="1" applyAlignment="1" applyProtection="1">
      <alignment vertical="center"/>
      <protection/>
    </xf>
    <xf numFmtId="0" fontId="53" fillId="0" borderId="0" xfId="35" applyFont="1" applyAlignment="1" applyProtection="1">
      <alignment vertical="center"/>
      <protection/>
    </xf>
    <xf numFmtId="4" fontId="53" fillId="0" borderId="0" xfId="68" applyNumberFormat="1" applyFont="1">
      <alignment/>
      <protection/>
    </xf>
    <xf numFmtId="0" fontId="53" fillId="0" borderId="10" xfId="35" applyFont="1" applyBorder="1" applyAlignment="1" applyProtection="1">
      <alignment horizontal="center" vertical="center" wrapText="1"/>
      <protection locked="0"/>
    </xf>
    <xf numFmtId="0" fontId="53" fillId="9" borderId="10" xfId="35" applyFont="1" applyFill="1" applyBorder="1" applyAlignment="1" applyProtection="1">
      <alignment horizontal="center" vertical="center" wrapText="1"/>
      <protection/>
    </xf>
    <xf numFmtId="9" fontId="53" fillId="0" borderId="10" xfId="35" applyNumberFormat="1" applyFont="1" applyFill="1" applyBorder="1" applyAlignment="1" applyProtection="1">
      <alignment horizontal="center" vertical="center" wrapText="1"/>
      <protection/>
    </xf>
    <xf numFmtId="4" fontId="53" fillId="8" borderId="10" xfId="35" applyNumberFormat="1" applyFont="1" applyFill="1" applyBorder="1" applyAlignment="1" applyProtection="1">
      <alignment horizontal="center" vertical="center" wrapText="1"/>
      <protection/>
    </xf>
    <xf numFmtId="188" fontId="53" fillId="0" borderId="10" xfId="35" applyNumberFormat="1" applyFont="1" applyFill="1" applyBorder="1" applyAlignment="1" applyProtection="1">
      <alignment horizontal="center" vertical="center" wrapText="1"/>
      <protection/>
    </xf>
    <xf numFmtId="49" fontId="53" fillId="0" borderId="10" xfId="35" applyNumberFormat="1" applyFont="1" applyFill="1" applyBorder="1" applyAlignment="1" applyProtection="1">
      <alignment horizontal="center" vertical="center" wrapText="1"/>
      <protection/>
    </xf>
    <xf numFmtId="2" fontId="53" fillId="8" borderId="10" xfId="35" applyNumberFormat="1" applyFont="1" applyFill="1" applyBorder="1" applyAlignment="1" applyProtection="1">
      <alignment horizontal="center" vertical="center" wrapText="1"/>
      <protection locked="0"/>
    </xf>
    <xf numFmtId="49" fontId="53" fillId="0" borderId="10" xfId="35" applyNumberFormat="1" applyFont="1" applyBorder="1" applyAlignment="1" applyProtection="1">
      <alignment horizontal="center" vertical="center" wrapText="1"/>
      <protection/>
    </xf>
    <xf numFmtId="4" fontId="53" fillId="8" borderId="10" xfId="35" applyNumberFormat="1" applyFont="1" applyFill="1" applyBorder="1" applyAlignment="1" applyProtection="1">
      <alignment horizontal="center" vertical="center" wrapText="1"/>
      <protection locked="0"/>
    </xf>
    <xf numFmtId="188" fontId="53" fillId="8" borderId="10" xfId="35" applyNumberFormat="1" applyFont="1" applyFill="1" applyBorder="1" applyAlignment="1" applyProtection="1">
      <alignment horizontal="center" vertical="center" wrapText="1"/>
      <protection locked="0"/>
    </xf>
    <xf numFmtId="200" fontId="53" fillId="8" borderId="10" xfId="35" applyNumberFormat="1" applyFont="1" applyFill="1" applyBorder="1" applyAlignment="1" applyProtection="1">
      <alignment horizontal="center" vertical="center" wrapText="1"/>
      <protection locked="0"/>
    </xf>
    <xf numFmtId="0" fontId="53" fillId="0" borderId="10" xfId="35" applyFont="1" applyFill="1" applyBorder="1" applyAlignment="1" applyProtection="1">
      <alignment vertical="center" wrapText="1"/>
      <protection/>
    </xf>
    <xf numFmtId="0" fontId="38" fillId="2" borderId="10" xfId="68" applyFont="1" applyFill="1" applyBorder="1" applyAlignment="1" applyProtection="1">
      <alignment horizontal="center" vertical="center" wrapText="1"/>
      <protection/>
    </xf>
    <xf numFmtId="0" fontId="38" fillId="2" borderId="10" xfId="68" applyFont="1" applyFill="1" applyBorder="1" applyAlignment="1" applyProtection="1">
      <alignment horizontal="center" vertical="center"/>
      <protection/>
    </xf>
    <xf numFmtId="0" fontId="38" fillId="2" borderId="10" xfId="68" applyFont="1" applyFill="1" applyBorder="1" applyAlignment="1" applyProtection="1">
      <alignment horizontal="center"/>
      <protection/>
    </xf>
    <xf numFmtId="49" fontId="38" fillId="2" borderId="10" xfId="68" applyNumberFormat="1" applyFont="1" applyFill="1" applyBorder="1" applyAlignment="1" applyProtection="1">
      <alignment horizontal="right" vertical="center" wrapText="1"/>
      <protection/>
    </xf>
    <xf numFmtId="2" fontId="38" fillId="2" borderId="10" xfId="68" applyNumberFormat="1" applyFont="1" applyFill="1" applyBorder="1" applyAlignment="1" applyProtection="1">
      <alignment horizontal="center" vertical="center" wrapText="1"/>
      <protection/>
    </xf>
    <xf numFmtId="0" fontId="69" fillId="2" borderId="10" xfId="68" applyFont="1" applyFill="1" applyBorder="1" applyAlignment="1" applyProtection="1">
      <alignment wrapText="1"/>
      <protection/>
    </xf>
    <xf numFmtId="4" fontId="69" fillId="2" borderId="10" xfId="68" applyNumberFormat="1" applyFont="1" applyFill="1" applyBorder="1" applyAlignment="1" applyProtection="1">
      <alignment horizontal="center" vertical="center"/>
      <protection/>
    </xf>
    <xf numFmtId="4" fontId="38" fillId="2" borderId="10" xfId="68" applyNumberFormat="1" applyFont="1" applyFill="1" applyBorder="1" applyAlignment="1" applyProtection="1">
      <alignment horizontal="center" vertical="center"/>
      <protection/>
    </xf>
    <xf numFmtId="49" fontId="38" fillId="2" borderId="10" xfId="68" applyNumberFormat="1" applyFont="1" applyFill="1" applyBorder="1" applyAlignment="1" applyProtection="1">
      <alignment horizontal="center" vertical="center"/>
      <protection/>
    </xf>
    <xf numFmtId="0" fontId="38" fillId="2" borderId="10" xfId="68" applyFont="1" applyFill="1" applyBorder="1" applyProtection="1">
      <alignment/>
      <protection/>
    </xf>
    <xf numFmtId="0" fontId="38" fillId="2" borderId="10" xfId="68" applyFont="1" applyFill="1" applyBorder="1" applyAlignment="1" applyProtection="1">
      <alignment wrapText="1"/>
      <protection/>
    </xf>
    <xf numFmtId="4" fontId="38" fillId="2" borderId="10" xfId="68" applyNumberFormat="1" applyFont="1" applyFill="1" applyBorder="1" applyAlignment="1" applyProtection="1">
      <alignment horizontal="center" vertical="center"/>
      <protection locked="0"/>
    </xf>
    <xf numFmtId="49" fontId="38" fillId="2" borderId="10" xfId="68" applyNumberFormat="1" applyFont="1" applyFill="1" applyBorder="1" applyAlignment="1" applyProtection="1">
      <alignment horizontal="center" vertical="center"/>
      <protection locked="0"/>
    </xf>
    <xf numFmtId="0" fontId="53" fillId="0" borderId="10" xfId="38" applyFont="1" applyFill="1" applyBorder="1" applyAlignment="1" applyProtection="1">
      <alignment horizontal="left" vertical="center" wrapText="1"/>
      <protection/>
    </xf>
    <xf numFmtId="0" fontId="53" fillId="0" borderId="10" xfId="0" applyFont="1" applyBorder="1" applyAlignment="1">
      <alignment horizontal="left" vertical="center" wrapText="1"/>
    </xf>
    <xf numFmtId="4" fontId="38" fillId="2" borderId="10" xfId="68" applyNumberFormat="1" applyFont="1" applyFill="1" applyBorder="1" applyAlignment="1" applyProtection="1">
      <alignment horizontal="center" vertical="center" wrapText="1"/>
      <protection locked="0"/>
    </xf>
    <xf numFmtId="4" fontId="38" fillId="2" borderId="10" xfId="68" applyNumberFormat="1" applyFont="1" applyFill="1" applyBorder="1" applyAlignment="1" applyProtection="1">
      <alignment horizontal="center" vertical="center" wrapText="1"/>
      <protection/>
    </xf>
    <xf numFmtId="4" fontId="69" fillId="2" borderId="10" xfId="68" applyNumberFormat="1" applyFont="1" applyFill="1" applyBorder="1" applyAlignment="1" applyProtection="1">
      <alignment horizontal="center" vertical="center" wrapText="1"/>
      <protection/>
    </xf>
    <xf numFmtId="49" fontId="38" fillId="2" borderId="10" xfId="68" applyNumberFormat="1" applyFont="1" applyFill="1" applyBorder="1" applyProtection="1">
      <alignment/>
      <protection/>
    </xf>
    <xf numFmtId="49" fontId="38" fillId="0" borderId="10" xfId="68" applyNumberFormat="1" applyFont="1" applyFill="1" applyBorder="1" applyAlignment="1" applyProtection="1">
      <alignment horizontal="right" vertical="center" wrapText="1"/>
      <protection/>
    </xf>
    <xf numFmtId="4" fontId="69" fillId="2" borderId="10" xfId="35" applyNumberFormat="1" applyFont="1" applyFill="1" applyBorder="1" applyAlignment="1" applyProtection="1">
      <alignment horizontal="center" vertical="center"/>
      <protection locked="0"/>
    </xf>
    <xf numFmtId="0" fontId="18" fillId="0" borderId="10" xfId="69" applyFont="1" applyBorder="1" applyAlignment="1">
      <alignment horizontal="center"/>
      <protection/>
    </xf>
    <xf numFmtId="195" fontId="53" fillId="0" borderId="10" xfId="35" applyNumberFormat="1" applyFont="1" applyFill="1" applyBorder="1" applyAlignment="1" applyProtection="1">
      <alignment horizontal="center" vertical="center" wrapText="1"/>
      <protection/>
    </xf>
    <xf numFmtId="49" fontId="53" fillId="0" borderId="10" xfId="68" applyNumberFormat="1" applyFont="1" applyFill="1" applyBorder="1" applyAlignment="1">
      <alignment horizontal="center" vertical="center"/>
      <protection/>
    </xf>
    <xf numFmtId="0" fontId="13" fillId="0" borderId="10" xfId="68" applyFont="1" applyFill="1" applyBorder="1" applyAlignment="1">
      <alignment horizontal="center" vertical="center"/>
      <protection/>
    </xf>
    <xf numFmtId="4" fontId="53" fillId="0" borderId="10" xfId="68" applyNumberFormat="1" applyFont="1" applyFill="1" applyBorder="1" applyAlignment="1">
      <alignment horizontal="center" vertical="center"/>
      <protection/>
    </xf>
    <xf numFmtId="4" fontId="53" fillId="0" borderId="10" xfId="37" applyNumberFormat="1" applyFont="1" applyBorder="1" applyAlignment="1">
      <alignment horizontal="center" wrapText="1"/>
      <protection/>
    </xf>
    <xf numFmtId="4" fontId="13" fillId="0" borderId="10" xfId="68" applyNumberFormat="1" applyFont="1" applyFill="1" applyBorder="1" applyAlignment="1">
      <alignment horizontal="center" vertical="center"/>
      <protection/>
    </xf>
    <xf numFmtId="4" fontId="53" fillId="0" borderId="10" xfId="37" applyNumberFormat="1" applyFont="1" applyBorder="1" applyAlignment="1">
      <alignment horizontal="center"/>
      <protection/>
    </xf>
    <xf numFmtId="0" fontId="53" fillId="0" borderId="10" xfId="68" applyNumberFormat="1" applyFont="1" applyFill="1" applyBorder="1" applyAlignment="1">
      <alignment horizontal="center" vertical="center"/>
      <protection/>
    </xf>
    <xf numFmtId="3" fontId="53" fillId="0" borderId="10" xfId="68" applyNumberFormat="1" applyFont="1" applyFill="1" applyBorder="1" applyAlignment="1">
      <alignment horizontal="center" vertical="center"/>
      <protection/>
    </xf>
    <xf numFmtId="3" fontId="53" fillId="0" borderId="20" xfId="37" applyNumberFormat="1" applyFont="1" applyBorder="1" applyAlignment="1">
      <alignment horizontal="center"/>
      <protection/>
    </xf>
    <xf numFmtId="4" fontId="53" fillId="0" borderId="20" xfId="37" applyNumberFormat="1" applyFont="1" applyBorder="1" applyAlignment="1">
      <alignment horizontal="center"/>
      <protection/>
    </xf>
    <xf numFmtId="4" fontId="53" fillId="0" borderId="20" xfId="37" applyNumberFormat="1" applyFont="1" applyFill="1" applyBorder="1" applyAlignment="1">
      <alignment horizontal="center"/>
      <protection/>
    </xf>
    <xf numFmtId="4" fontId="53" fillId="0" borderId="20" xfId="68" applyNumberFormat="1" applyFont="1" applyBorder="1" applyAlignment="1">
      <alignment horizontal="center"/>
      <protection/>
    </xf>
    <xf numFmtId="49" fontId="13" fillId="0" borderId="0" xfId="68" applyNumberFormat="1" applyFont="1">
      <alignment/>
      <protection/>
    </xf>
    <xf numFmtId="0" fontId="13" fillId="0" borderId="0" xfId="68" applyFont="1" applyFill="1">
      <alignment/>
      <protection/>
    </xf>
    <xf numFmtId="0" fontId="13" fillId="0" borderId="0" xfId="68" applyFont="1" applyAlignment="1">
      <alignment horizontal="center"/>
      <protection/>
    </xf>
    <xf numFmtId="0" fontId="13" fillId="0" borderId="0" xfId="68" applyFont="1" applyFill="1" applyAlignment="1">
      <alignment horizontal="center"/>
      <protection/>
    </xf>
    <xf numFmtId="0" fontId="70" fillId="0" borderId="0" xfId="68" applyFont="1" applyFill="1" applyAlignment="1">
      <alignment horizontal="center"/>
      <protection/>
    </xf>
    <xf numFmtId="0" fontId="13" fillId="0" borderId="0" xfId="67" applyFont="1" applyProtection="1">
      <alignment/>
      <protection hidden="1"/>
    </xf>
    <xf numFmtId="0" fontId="13" fillId="0" borderId="0" xfId="67" applyFont="1" applyAlignment="1" applyProtection="1">
      <alignment horizontal="left"/>
      <protection hidden="1"/>
    </xf>
    <xf numFmtId="0" fontId="13" fillId="0" borderId="0" xfId="67" applyFont="1" applyAlignment="1" applyProtection="1">
      <alignment horizontal="left" indent="3"/>
      <protection hidden="1"/>
    </xf>
    <xf numFmtId="0" fontId="53" fillId="0" borderId="0" xfId="68" applyFont="1" applyFill="1">
      <alignment/>
      <protection/>
    </xf>
    <xf numFmtId="0" fontId="57" fillId="0" borderId="0" xfId="68" applyFont="1" applyFill="1" applyAlignment="1">
      <alignment horizontal="center"/>
      <protection/>
    </xf>
    <xf numFmtId="0" fontId="53" fillId="0" borderId="0" xfId="68" applyFont="1" applyFill="1" applyAlignment="1">
      <alignment horizontal="center"/>
      <protection/>
    </xf>
    <xf numFmtId="10" fontId="53" fillId="0" borderId="10" xfId="35" applyNumberFormat="1" applyFont="1" applyFill="1" applyBorder="1" applyAlignment="1" applyProtection="1">
      <alignment horizontal="center" vertical="center" wrapText="1"/>
      <protection locked="0"/>
    </xf>
    <xf numFmtId="10" fontId="53" fillId="0" borderId="10" xfId="35" applyNumberFormat="1" applyFont="1" applyBorder="1" applyAlignment="1" applyProtection="1">
      <alignment horizontal="center" vertical="center" wrapText="1"/>
      <protection/>
    </xf>
    <xf numFmtId="0" fontId="53" fillId="0" borderId="10" xfId="68" applyFont="1" applyBorder="1" applyAlignment="1">
      <alignment horizontal="center" vertical="center"/>
      <protection/>
    </xf>
    <xf numFmtId="49" fontId="53" fillId="0" borderId="10" xfId="68" applyNumberFormat="1" applyFont="1" applyFill="1" applyBorder="1" applyAlignment="1">
      <alignment horizontal="center"/>
      <protection/>
    </xf>
    <xf numFmtId="0" fontId="53" fillId="0" borderId="10" xfId="68" applyFont="1" applyFill="1" applyBorder="1" applyAlignment="1">
      <alignment horizontal="center" wrapText="1"/>
      <protection/>
    </xf>
    <xf numFmtId="0" fontId="53" fillId="0" borderId="10" xfId="68" applyFont="1" applyBorder="1" applyAlignment="1">
      <alignment horizontal="center"/>
      <protection/>
    </xf>
    <xf numFmtId="49" fontId="53" fillId="0" borderId="10" xfId="68" applyNumberFormat="1" applyFont="1" applyBorder="1" applyAlignment="1">
      <alignment horizontal="left"/>
      <protection/>
    </xf>
    <xf numFmtId="0" fontId="13" fillId="0" borderId="10" xfId="68" applyFont="1" applyBorder="1">
      <alignment/>
      <protection/>
    </xf>
    <xf numFmtId="0" fontId="53" fillId="0" borderId="10" xfId="68" applyFont="1" applyBorder="1" applyAlignment="1">
      <alignment horizontal="left" wrapText="1"/>
      <protection/>
    </xf>
    <xf numFmtId="0" fontId="53" fillId="0" borderId="10" xfId="68" applyFont="1" applyBorder="1" applyAlignment="1">
      <alignment horizontal="center" wrapText="1"/>
      <protection/>
    </xf>
    <xf numFmtId="2" fontId="53" fillId="0" borderId="10" xfId="68" applyNumberFormat="1" applyFont="1" applyBorder="1" applyAlignment="1">
      <alignment horizontal="center" wrapText="1"/>
      <protection/>
    </xf>
    <xf numFmtId="2" fontId="56" fillId="0" borderId="10" xfId="68" applyNumberFormat="1" applyFont="1" applyBorder="1" applyAlignment="1">
      <alignment horizontal="center" wrapText="1"/>
      <protection/>
    </xf>
    <xf numFmtId="2" fontId="56" fillId="0" borderId="10" xfId="68" applyNumberFormat="1" applyFont="1" applyFill="1" applyBorder="1" applyAlignment="1">
      <alignment horizontal="center" wrapText="1"/>
      <protection/>
    </xf>
    <xf numFmtId="0" fontId="53" fillId="2" borderId="10" xfId="68" applyFont="1" applyFill="1" applyBorder="1" applyAlignment="1">
      <alignment horizontal="left" wrapText="1"/>
      <protection/>
    </xf>
    <xf numFmtId="0" fontId="13" fillId="0" borderId="10" xfId="68" applyFont="1" applyFill="1" applyBorder="1">
      <alignment/>
      <protection/>
    </xf>
    <xf numFmtId="2" fontId="53" fillId="0" borderId="10" xfId="68" applyNumberFormat="1" applyFont="1" applyFill="1" applyBorder="1" applyAlignment="1">
      <alignment horizontal="center" wrapText="1"/>
      <protection/>
    </xf>
    <xf numFmtId="0" fontId="53" fillId="0" borderId="10" xfId="68" applyFont="1" applyFill="1" applyBorder="1" applyAlignment="1">
      <alignment horizontal="left" wrapText="1"/>
      <protection/>
    </xf>
    <xf numFmtId="0" fontId="53" fillId="0" borderId="10" xfId="68" applyNumberFormat="1" applyFont="1" applyBorder="1" applyAlignment="1">
      <alignment/>
      <protection/>
    </xf>
    <xf numFmtId="0" fontId="53" fillId="0" borderId="10" xfId="68" applyNumberFormat="1" applyFont="1" applyFill="1" applyBorder="1" applyAlignment="1">
      <alignment horizontal="left" vertical="center"/>
      <protection/>
    </xf>
    <xf numFmtId="4" fontId="53" fillId="0" borderId="10" xfId="41" applyNumberFormat="1" applyFont="1" applyBorder="1" applyAlignment="1">
      <alignment horizontal="left" wrapText="1"/>
      <protection/>
    </xf>
    <xf numFmtId="1" fontId="53" fillId="0" borderId="10" xfId="41" applyNumberFormat="1" applyFont="1" applyBorder="1" applyAlignment="1">
      <alignment horizontal="center" wrapText="1"/>
      <protection/>
    </xf>
    <xf numFmtId="4" fontId="53" fillId="0" borderId="10" xfId="68" applyNumberFormat="1" applyFont="1" applyBorder="1" applyAlignment="1">
      <alignment horizontal="center" wrapText="1"/>
      <protection/>
    </xf>
    <xf numFmtId="4" fontId="53" fillId="0" borderId="10" xfId="41" applyNumberFormat="1" applyFont="1" applyBorder="1" applyAlignment="1">
      <alignment horizontal="center" wrapText="1"/>
      <protection/>
    </xf>
    <xf numFmtId="4" fontId="53" fillId="0" borderId="11" xfId="68" applyNumberFormat="1" applyFont="1" applyFill="1" applyBorder="1" applyAlignment="1">
      <alignment horizontal="center" vertical="center" wrapText="1"/>
      <protection/>
    </xf>
    <xf numFmtId="4" fontId="53" fillId="0" borderId="10" xfId="68" applyNumberFormat="1" applyFont="1" applyFill="1" applyBorder="1" applyAlignment="1">
      <alignment horizontal="center" vertical="center" wrapText="1"/>
      <protection/>
    </xf>
    <xf numFmtId="4" fontId="13" fillId="0" borderId="10" xfId="68" applyNumberFormat="1" applyFont="1" applyBorder="1">
      <alignment/>
      <protection/>
    </xf>
    <xf numFmtId="4" fontId="53" fillId="0" borderId="10" xfId="41" applyNumberFormat="1" applyFont="1" applyBorder="1" applyAlignment="1">
      <alignment horizontal="left"/>
      <protection/>
    </xf>
    <xf numFmtId="1" fontId="53" fillId="0" borderId="10" xfId="41" applyNumberFormat="1" applyFont="1" applyBorder="1" applyAlignment="1">
      <alignment horizontal="center"/>
      <protection/>
    </xf>
    <xf numFmtId="4" fontId="53" fillId="0" borderId="10" xfId="41" applyNumberFormat="1" applyFont="1" applyBorder="1" applyAlignment="1">
      <alignment horizontal="center"/>
      <protection/>
    </xf>
    <xf numFmtId="4" fontId="53" fillId="0" borderId="53" xfId="41" applyNumberFormat="1" applyFont="1" applyBorder="1" applyAlignment="1">
      <alignment horizontal="left" wrapText="1"/>
      <protection/>
    </xf>
    <xf numFmtId="4" fontId="13" fillId="0" borderId="0" xfId="68" applyNumberFormat="1" applyFont="1" applyFill="1">
      <alignment/>
      <protection/>
    </xf>
    <xf numFmtId="4" fontId="53" fillId="0" borderId="53" xfId="41" applyNumberFormat="1" applyFont="1" applyBorder="1" applyAlignment="1">
      <alignment horizontal="left"/>
      <protection/>
    </xf>
    <xf numFmtId="4" fontId="13" fillId="0" borderId="10" xfId="68" applyNumberFormat="1" applyFont="1" applyFill="1" applyBorder="1">
      <alignment/>
      <protection/>
    </xf>
    <xf numFmtId="4" fontId="53" fillId="0" borderId="10" xfId="68" applyNumberFormat="1" applyFont="1" applyBorder="1" applyAlignment="1">
      <alignment horizontal="center"/>
      <protection/>
    </xf>
    <xf numFmtId="4" fontId="53" fillId="0" borderId="11" xfId="68" applyNumberFormat="1" applyFont="1" applyFill="1" applyBorder="1" applyAlignment="1">
      <alignment horizontal="center" vertical="center"/>
      <protection/>
    </xf>
    <xf numFmtId="4" fontId="53" fillId="0" borderId="10" xfId="68" applyNumberFormat="1" applyFont="1" applyFill="1" applyBorder="1" applyAlignment="1">
      <alignment horizontal="center" wrapText="1"/>
      <protection/>
    </xf>
    <xf numFmtId="4" fontId="59" fillId="0" borderId="10" xfId="68" applyNumberFormat="1" applyFont="1" applyBorder="1" applyAlignment="1">
      <alignment horizontal="center" wrapText="1"/>
      <protection/>
    </xf>
    <xf numFmtId="4" fontId="59" fillId="0" borderId="10" xfId="68" applyNumberFormat="1" applyFont="1" applyFill="1" applyBorder="1" applyAlignment="1">
      <alignment horizontal="center" vertical="center" wrapText="1"/>
      <protection/>
    </xf>
    <xf numFmtId="4" fontId="59" fillId="0" borderId="10" xfId="68" applyNumberFormat="1" applyFont="1" applyBorder="1" applyAlignment="1">
      <alignment horizontal="center"/>
      <protection/>
    </xf>
    <xf numFmtId="4" fontId="59" fillId="0" borderId="53" xfId="41" applyNumberFormat="1" applyFont="1" applyBorder="1" applyAlignment="1">
      <alignment horizontal="left" wrapText="1"/>
      <protection/>
    </xf>
    <xf numFmtId="1" fontId="59" fillId="0" borderId="10" xfId="41" applyNumberFormat="1" applyFont="1" applyBorder="1" applyAlignment="1">
      <alignment horizontal="center"/>
      <protection/>
    </xf>
    <xf numFmtId="4" fontId="59" fillId="0" borderId="53" xfId="41" applyNumberFormat="1" applyFont="1" applyBorder="1" applyAlignment="1">
      <alignment horizontal="left"/>
      <protection/>
    </xf>
    <xf numFmtId="49" fontId="53" fillId="0" borderId="10" xfId="68" applyNumberFormat="1" applyFont="1" applyFill="1" applyBorder="1" applyAlignment="1">
      <alignment horizontal="left" vertical="center"/>
      <protection/>
    </xf>
    <xf numFmtId="49" fontId="56" fillId="0" borderId="10" xfId="68" applyNumberFormat="1" applyFont="1" applyBorder="1" applyAlignment="1">
      <alignment horizontal="left"/>
      <protection/>
    </xf>
    <xf numFmtId="49" fontId="71" fillId="0" borderId="10" xfId="68" applyNumberFormat="1" applyFont="1" applyBorder="1" applyAlignment="1">
      <alignment horizontal="left"/>
      <protection/>
    </xf>
    <xf numFmtId="0" fontId="71" fillId="0" borderId="10" xfId="68" applyFont="1" applyBorder="1" applyAlignment="1">
      <alignment horizontal="left" wrapText="1"/>
      <protection/>
    </xf>
    <xf numFmtId="0" fontId="71" fillId="0" borderId="10" xfId="68" applyFont="1" applyBorder="1" applyAlignment="1">
      <alignment horizontal="center"/>
      <protection/>
    </xf>
    <xf numFmtId="2" fontId="71" fillId="0" borderId="10" xfId="68" applyNumberFormat="1" applyFont="1" applyBorder="1" applyAlignment="1">
      <alignment horizontal="center" wrapText="1"/>
      <protection/>
    </xf>
    <xf numFmtId="2" fontId="71" fillId="0" borderId="10" xfId="68" applyNumberFormat="1" applyFont="1" applyFill="1" applyBorder="1" applyAlignment="1">
      <alignment horizontal="center" wrapText="1"/>
      <protection/>
    </xf>
    <xf numFmtId="4" fontId="53" fillId="0" borderId="10" xfId="68" applyNumberFormat="1" applyFont="1" applyFill="1" applyBorder="1" applyAlignment="1">
      <alignment horizontal="center"/>
      <protection/>
    </xf>
    <xf numFmtId="193" fontId="13" fillId="0" borderId="0" xfId="41" applyNumberFormat="1" applyFont="1" applyFill="1" applyBorder="1" applyAlignment="1">
      <alignment horizontal="center" vertical="center"/>
      <protection/>
    </xf>
    <xf numFmtId="0" fontId="13" fillId="0" borderId="0" xfId="41" applyFont="1" applyAlignment="1">
      <alignment horizontal="center" vertical="center" wrapText="1"/>
      <protection/>
    </xf>
    <xf numFmtId="0" fontId="13" fillId="0" borderId="0" xfId="41" applyFont="1" applyAlignment="1" applyProtection="1">
      <alignment vertical="center"/>
      <protection/>
    </xf>
    <xf numFmtId="0" fontId="53" fillId="9" borderId="10" xfId="35" applyFont="1" applyFill="1" applyBorder="1" applyAlignment="1" applyProtection="1">
      <alignment horizontal="center" vertical="center" wrapText="1"/>
      <protection locked="0"/>
    </xf>
    <xf numFmtId="2" fontId="53" fillId="0" borderId="10" xfId="68" applyNumberFormat="1" applyFont="1" applyFill="1" applyBorder="1" applyAlignment="1">
      <alignment horizontal="center" vertical="center" wrapText="1"/>
      <protection/>
    </xf>
    <xf numFmtId="0" fontId="18" fillId="0" borderId="72" xfId="38" applyFont="1" applyFill="1" applyBorder="1" applyAlignment="1">
      <alignment horizontal="center" vertical="center" wrapText="1"/>
      <protection/>
    </xf>
    <xf numFmtId="49" fontId="18" fillId="0" borderId="14" xfId="39" applyNumberFormat="1" applyFont="1" applyFill="1" applyBorder="1" applyAlignment="1" applyProtection="1">
      <alignment horizontal="center" vertical="center" wrapText="1"/>
      <protection/>
    </xf>
    <xf numFmtId="49" fontId="49" fillId="0" borderId="14" xfId="0" applyNumberFormat="1" applyFont="1" applyFill="1" applyBorder="1" applyAlignment="1">
      <alignment horizontal="left" vertical="center"/>
    </xf>
    <xf numFmtId="2" fontId="18" fillId="0" borderId="14" xfId="35" applyNumberFormat="1" applyFont="1" applyFill="1" applyBorder="1" applyAlignment="1">
      <alignment vertical="center"/>
      <protection/>
    </xf>
    <xf numFmtId="4" fontId="10" fillId="0" borderId="0" xfId="38" applyNumberFormat="1" applyFont="1" applyAlignment="1">
      <alignment horizontal="right"/>
      <protection/>
    </xf>
    <xf numFmtId="4" fontId="10" fillId="0" borderId="0" xfId="38" applyNumberFormat="1" applyFont="1" applyAlignment="1">
      <alignment horizontal="center"/>
      <protection/>
    </xf>
    <xf numFmtId="4" fontId="51" fillId="9" borderId="11" xfId="38" applyNumberFormat="1" applyFont="1" applyFill="1" applyBorder="1" applyAlignment="1">
      <alignment/>
      <protection/>
    </xf>
    <xf numFmtId="4" fontId="51" fillId="9" borderId="17" xfId="38" applyNumberFormat="1" applyFont="1" applyFill="1" applyBorder="1" applyAlignment="1">
      <alignment/>
      <protection/>
    </xf>
    <xf numFmtId="4" fontId="51" fillId="9" borderId="14" xfId="38" applyNumberFormat="1" applyFont="1" applyFill="1" applyBorder="1" applyAlignment="1">
      <alignment/>
      <protection/>
    </xf>
    <xf numFmtId="4" fontId="51" fillId="9" borderId="12" xfId="38" applyNumberFormat="1" applyFont="1" applyFill="1" applyBorder="1" applyAlignment="1">
      <alignment/>
      <protection/>
    </xf>
    <xf numFmtId="4" fontId="51" fillId="9" borderId="26" xfId="38" applyNumberFormat="1" applyFont="1" applyFill="1" applyBorder="1" applyAlignment="1">
      <alignment/>
      <protection/>
    </xf>
    <xf numFmtId="4" fontId="18" fillId="0" borderId="10" xfId="39" applyNumberFormat="1" applyFont="1" applyFill="1" applyBorder="1" applyAlignment="1">
      <alignment horizontal="right" vertical="center" wrapText="1"/>
      <protection/>
    </xf>
    <xf numFmtId="4" fontId="51" fillId="0" borderId="10" xfId="39" applyNumberFormat="1" applyFont="1" applyFill="1" applyBorder="1" applyAlignment="1">
      <alignment horizontal="right" vertical="center"/>
      <protection/>
    </xf>
    <xf numFmtId="4" fontId="51" fillId="0" borderId="12" xfId="39" applyNumberFormat="1" applyFont="1" applyFill="1" applyBorder="1" applyAlignment="1">
      <alignment horizontal="right" vertical="center"/>
      <protection/>
    </xf>
    <xf numFmtId="4" fontId="18" fillId="0" borderId="14" xfId="39" applyNumberFormat="1" applyFont="1" applyFill="1" applyBorder="1" applyAlignment="1">
      <alignment horizontal="right" vertical="center"/>
      <protection/>
    </xf>
    <xf numFmtId="4" fontId="18" fillId="0" borderId="12" xfId="39" applyNumberFormat="1" applyFont="1" applyFill="1" applyBorder="1" applyAlignment="1">
      <alignment horizontal="right" vertical="center"/>
      <protection/>
    </xf>
    <xf numFmtId="4" fontId="18" fillId="0" borderId="11" xfId="39" applyNumberFormat="1" applyFont="1" applyFill="1" applyBorder="1" applyAlignment="1">
      <alignment horizontal="right" vertical="center"/>
      <protection/>
    </xf>
    <xf numFmtId="4" fontId="18" fillId="0" borderId="14" xfId="39" applyNumberFormat="1" applyFont="1" applyFill="1" applyBorder="1" applyAlignment="1">
      <alignment vertical="center"/>
      <protection/>
    </xf>
    <xf numFmtId="4" fontId="18" fillId="0" borderId="12" xfId="39" applyNumberFormat="1" applyFont="1" applyFill="1" applyBorder="1" applyAlignment="1">
      <alignment horizontal="center" vertical="center" textRotation="90"/>
      <protection/>
    </xf>
    <xf numFmtId="4" fontId="18" fillId="0" borderId="10" xfId="39" applyNumberFormat="1" applyFont="1" applyFill="1" applyBorder="1" applyAlignment="1">
      <alignment horizontal="right" vertical="center"/>
      <protection/>
    </xf>
    <xf numFmtId="4" fontId="18" fillId="0" borderId="12" xfId="39" applyNumberFormat="1" applyFont="1" applyFill="1" applyBorder="1" applyAlignment="1">
      <alignment horizontal="center" vertical="center"/>
      <protection/>
    </xf>
    <xf numFmtId="4" fontId="49" fillId="19" borderId="10" xfId="39" applyNumberFormat="1" applyFont="1" applyFill="1" applyBorder="1" applyAlignment="1">
      <alignment horizontal="right" vertical="center" wrapText="1"/>
      <protection/>
    </xf>
    <xf numFmtId="4" fontId="49" fillId="19" borderId="12" xfId="39" applyNumberFormat="1" applyFont="1" applyFill="1" applyBorder="1" applyAlignment="1">
      <alignment horizontal="right" vertical="center" wrapText="1"/>
      <protection/>
    </xf>
    <xf numFmtId="4" fontId="49" fillId="19" borderId="14" xfId="39" applyNumberFormat="1" applyFont="1" applyFill="1" applyBorder="1" applyAlignment="1">
      <alignment horizontal="right" vertical="center" wrapText="1"/>
      <protection/>
    </xf>
    <xf numFmtId="4" fontId="49" fillId="19" borderId="11" xfId="39" applyNumberFormat="1" applyFont="1" applyFill="1" applyBorder="1" applyAlignment="1">
      <alignment horizontal="right" vertical="center" wrapText="1"/>
      <protection/>
    </xf>
    <xf numFmtId="4" fontId="51" fillId="0" borderId="10" xfId="38" applyNumberFormat="1" applyFont="1" applyFill="1" applyBorder="1" applyAlignment="1">
      <alignment horizontal="right" vertical="center"/>
      <protection/>
    </xf>
    <xf numFmtId="4" fontId="18" fillId="0" borderId="12" xfId="38" applyNumberFormat="1" applyFont="1" applyFill="1" applyBorder="1" applyAlignment="1">
      <alignment horizontal="right" vertical="center"/>
      <protection/>
    </xf>
    <xf numFmtId="4" fontId="18" fillId="0" borderId="14" xfId="38" applyNumberFormat="1" applyFont="1" applyFill="1" applyBorder="1" applyAlignment="1">
      <alignment horizontal="right" vertical="center"/>
      <protection/>
    </xf>
    <xf numFmtId="4" fontId="18" fillId="0" borderId="11" xfId="38" applyNumberFormat="1" applyFont="1" applyFill="1" applyBorder="1" applyAlignment="1">
      <alignment horizontal="right" vertical="center"/>
      <protection/>
    </xf>
    <xf numFmtId="4" fontId="49" fillId="18" borderId="10" xfId="39" applyNumberFormat="1" applyFont="1" applyFill="1" applyBorder="1" applyAlignment="1">
      <alignment horizontal="right" vertical="center"/>
      <protection/>
    </xf>
    <xf numFmtId="4" fontId="49" fillId="18" borderId="12" xfId="39" applyNumberFormat="1" applyFont="1" applyFill="1" applyBorder="1" applyAlignment="1">
      <alignment horizontal="right" vertical="center"/>
      <protection/>
    </xf>
    <xf numFmtId="4" fontId="49" fillId="18" borderId="14" xfId="39" applyNumberFormat="1" applyFont="1" applyFill="1" applyBorder="1" applyAlignment="1">
      <alignment horizontal="right" vertical="center"/>
      <protection/>
    </xf>
    <xf numFmtId="4" fontId="49" fillId="18" borderId="11" xfId="39" applyNumberFormat="1" applyFont="1" applyFill="1" applyBorder="1" applyAlignment="1">
      <alignment horizontal="right" vertical="center"/>
      <protection/>
    </xf>
    <xf numFmtId="4" fontId="49" fillId="0" borderId="12" xfId="38" applyNumberFormat="1" applyFont="1" applyFill="1" applyBorder="1" applyAlignment="1">
      <alignment horizontal="right" vertical="center"/>
      <protection/>
    </xf>
    <xf numFmtId="4" fontId="49" fillId="0" borderId="14" xfId="38" applyNumberFormat="1" applyFont="1" applyFill="1" applyBorder="1" applyAlignment="1">
      <alignment horizontal="right" vertical="center"/>
      <protection/>
    </xf>
    <xf numFmtId="4" fontId="49" fillId="0" borderId="11" xfId="38" applyNumberFormat="1" applyFont="1" applyFill="1" applyBorder="1" applyAlignment="1">
      <alignment horizontal="right" vertical="center"/>
      <protection/>
    </xf>
    <xf numFmtId="4" fontId="18" fillId="0" borderId="10" xfId="38" applyNumberFormat="1" applyFont="1" applyFill="1" applyBorder="1" applyAlignment="1">
      <alignment horizontal="right" vertical="center"/>
      <protection/>
    </xf>
    <xf numFmtId="4" fontId="18" fillId="0" borderId="14" xfId="39" applyNumberFormat="1" applyFont="1" applyBorder="1" applyAlignment="1">
      <alignment horizontal="right" vertical="center" wrapText="1"/>
      <protection/>
    </xf>
    <xf numFmtId="4" fontId="49" fillId="0" borderId="14" xfId="39" applyNumberFormat="1" applyFont="1" applyFill="1" applyBorder="1" applyAlignment="1">
      <alignment horizontal="right" vertical="center"/>
      <protection/>
    </xf>
    <xf numFmtId="4" fontId="49" fillId="0" borderId="12" xfId="39" applyNumberFormat="1" applyFont="1" applyFill="1" applyBorder="1" applyAlignment="1">
      <alignment horizontal="right" vertical="center"/>
      <protection/>
    </xf>
    <xf numFmtId="4" fontId="49" fillId="0" borderId="11" xfId="39" applyNumberFormat="1" applyFont="1" applyFill="1" applyBorder="1" applyAlignment="1">
      <alignment horizontal="right" vertical="center"/>
      <protection/>
    </xf>
    <xf numFmtId="4" fontId="49" fillId="0" borderId="10" xfId="39" applyNumberFormat="1" applyFont="1" applyFill="1" applyBorder="1" applyAlignment="1">
      <alignment horizontal="right" vertical="center"/>
      <protection/>
    </xf>
    <xf numFmtId="4" fontId="18" fillId="0" borderId="12" xfId="39" applyNumberFormat="1" applyFont="1" applyFill="1" applyBorder="1" applyAlignment="1">
      <alignment vertical="center"/>
      <protection/>
    </xf>
    <xf numFmtId="4" fontId="18" fillId="2" borderId="10" xfId="38" applyNumberFormat="1" applyFont="1" applyFill="1" applyBorder="1" applyAlignment="1">
      <alignment horizontal="right" vertical="center"/>
      <protection/>
    </xf>
    <xf numFmtId="4" fontId="49" fillId="2" borderId="12" xfId="38" applyNumberFormat="1" applyFont="1" applyFill="1" applyBorder="1" applyAlignment="1">
      <alignment horizontal="right" vertical="center"/>
      <protection/>
    </xf>
    <xf numFmtId="4" fontId="18" fillId="2" borderId="14" xfId="38" applyNumberFormat="1" applyFont="1" applyFill="1" applyBorder="1" applyAlignment="1">
      <alignment horizontal="right" vertical="center"/>
      <protection/>
    </xf>
    <xf numFmtId="4" fontId="18" fillId="2" borderId="11" xfId="38" applyNumberFormat="1" applyFont="1" applyFill="1" applyBorder="1" applyAlignment="1">
      <alignment horizontal="right" vertical="center"/>
      <protection/>
    </xf>
    <xf numFmtId="4" fontId="18" fillId="2" borderId="12" xfId="38" applyNumberFormat="1" applyFont="1" applyFill="1" applyBorder="1" applyAlignment="1">
      <alignment horizontal="right" vertical="center"/>
      <protection/>
    </xf>
    <xf numFmtId="4" fontId="18" fillId="2" borderId="10" xfId="39" applyNumberFormat="1" applyFont="1" applyFill="1" applyBorder="1" applyAlignment="1">
      <alignment horizontal="right" vertical="center"/>
      <protection/>
    </xf>
    <xf numFmtId="4" fontId="18" fillId="0" borderId="22" xfId="38" applyNumberFormat="1" applyFont="1" applyFill="1" applyBorder="1" applyAlignment="1">
      <alignment horizontal="right" vertical="center"/>
      <protection/>
    </xf>
    <xf numFmtId="4" fontId="18" fillId="0" borderId="23" xfId="38" applyNumberFormat="1" applyFont="1" applyFill="1" applyBorder="1" applyAlignment="1">
      <alignment horizontal="right" vertical="center"/>
      <protection/>
    </xf>
    <xf numFmtId="4" fontId="18" fillId="0" borderId="24" xfId="38" applyNumberFormat="1" applyFont="1" applyFill="1" applyBorder="1" applyAlignment="1">
      <alignment horizontal="right" vertical="center"/>
      <protection/>
    </xf>
    <xf numFmtId="4" fontId="18" fillId="2" borderId="12" xfId="39" applyNumberFormat="1" applyFont="1" applyFill="1" applyBorder="1" applyAlignment="1">
      <alignment horizontal="right" vertical="center"/>
      <protection/>
    </xf>
    <xf numFmtId="4" fontId="18" fillId="2" borderId="11" xfId="39" applyNumberFormat="1" applyFont="1" applyFill="1" applyBorder="1" applyAlignment="1">
      <alignment horizontal="right" vertical="center"/>
      <protection/>
    </xf>
    <xf numFmtId="4" fontId="18" fillId="9" borderId="10" xfId="39" applyNumberFormat="1" applyFont="1" applyFill="1" applyBorder="1" applyAlignment="1">
      <alignment horizontal="right" vertical="center" wrapText="1"/>
      <protection/>
    </xf>
    <xf numFmtId="4" fontId="18" fillId="9" borderId="12" xfId="39" applyNumberFormat="1" applyFont="1" applyFill="1" applyBorder="1" applyAlignment="1">
      <alignment horizontal="right" vertical="center" wrapText="1"/>
      <protection/>
    </xf>
    <xf numFmtId="4" fontId="18" fillId="9" borderId="22" xfId="38" applyNumberFormat="1" applyFont="1" applyFill="1" applyBorder="1" applyAlignment="1">
      <alignment vertical="center"/>
      <protection/>
    </xf>
    <xf numFmtId="4" fontId="18" fillId="9" borderId="24" xfId="38" applyNumberFormat="1" applyFont="1" applyFill="1" applyBorder="1" applyAlignment="1">
      <alignment vertical="center"/>
      <protection/>
    </xf>
    <xf numFmtId="4" fontId="18" fillId="9" borderId="23" xfId="38" applyNumberFormat="1" applyFont="1" applyFill="1" applyBorder="1" applyAlignment="1">
      <alignment vertical="center"/>
      <protection/>
    </xf>
    <xf numFmtId="4" fontId="18" fillId="0" borderId="12" xfId="39" applyNumberFormat="1" applyFont="1" applyFill="1" applyBorder="1" applyAlignment="1">
      <alignment horizontal="right" vertical="center" wrapText="1"/>
      <protection/>
    </xf>
    <xf numFmtId="4" fontId="18" fillId="0" borderId="21" xfId="39" applyNumberFormat="1" applyFont="1" applyFill="1" applyBorder="1" applyAlignment="1">
      <alignment horizontal="right" vertical="center" wrapText="1"/>
      <protection/>
    </xf>
    <xf numFmtId="4" fontId="18" fillId="0" borderId="26" xfId="39" applyNumberFormat="1" applyFont="1" applyFill="1" applyBorder="1" applyAlignment="1">
      <alignment horizontal="right" vertical="center" wrapText="1"/>
      <protection/>
    </xf>
    <xf numFmtId="4" fontId="18" fillId="0" borderId="27" xfId="38" applyNumberFormat="1" applyFont="1" applyFill="1" applyBorder="1" applyAlignment="1">
      <alignment horizontal="right" vertical="center"/>
      <protection/>
    </xf>
    <xf numFmtId="4" fontId="18" fillId="0" borderId="25" xfId="38" applyNumberFormat="1" applyFont="1" applyFill="1" applyBorder="1" applyAlignment="1">
      <alignment horizontal="right" vertical="center"/>
      <protection/>
    </xf>
    <xf numFmtId="4" fontId="18" fillId="0" borderId="26" xfId="38" applyNumberFormat="1" applyFont="1" applyFill="1" applyBorder="1" applyAlignment="1">
      <alignment horizontal="right" vertical="center"/>
      <protection/>
    </xf>
    <xf numFmtId="4" fontId="18" fillId="19" borderId="10" xfId="39" applyNumberFormat="1" applyFont="1" applyFill="1" applyBorder="1" applyAlignment="1">
      <alignment horizontal="right" vertical="center" wrapText="1"/>
      <protection/>
    </xf>
    <xf numFmtId="4" fontId="18" fillId="19" borderId="14" xfId="39" applyNumberFormat="1" applyFont="1" applyFill="1" applyBorder="1" applyAlignment="1">
      <alignment horizontal="right" vertical="center" wrapText="1"/>
      <protection/>
    </xf>
    <xf numFmtId="4" fontId="18" fillId="19" borderId="11" xfId="39" applyNumberFormat="1" applyFont="1" applyFill="1" applyBorder="1" applyAlignment="1">
      <alignment horizontal="right" vertical="center" wrapText="1"/>
      <protection/>
    </xf>
    <xf numFmtId="4" fontId="18" fillId="0" borderId="20" xfId="39" applyNumberFormat="1" applyFont="1" applyFill="1" applyBorder="1" applyAlignment="1">
      <alignment horizontal="right" vertical="center" wrapText="1"/>
      <protection/>
    </xf>
    <xf numFmtId="4" fontId="18" fillId="0" borderId="24" xfId="39" applyNumberFormat="1" applyFont="1" applyFill="1" applyBorder="1" applyAlignment="1">
      <alignment horizontal="right" vertical="center" wrapText="1"/>
      <protection/>
    </xf>
    <xf numFmtId="4" fontId="18" fillId="0" borderId="10" xfId="39" applyNumberFormat="1" applyFont="1" applyBorder="1" applyAlignment="1">
      <alignment horizontal="right" vertical="center" wrapText="1"/>
      <protection/>
    </xf>
    <xf numFmtId="4" fontId="18" fillId="0" borderId="12" xfId="39" applyNumberFormat="1" applyFont="1" applyBorder="1" applyAlignment="1">
      <alignment horizontal="right" vertical="center" wrapText="1"/>
      <protection/>
    </xf>
    <xf numFmtId="4" fontId="18" fillId="0" borderId="11" xfId="38" applyNumberFormat="1" applyFont="1" applyFill="1" applyBorder="1" applyAlignment="1">
      <alignment horizontal="right" vertical="center" wrapText="1"/>
      <protection/>
    </xf>
    <xf numFmtId="4" fontId="18" fillId="0" borderId="14" xfId="38" applyNumberFormat="1" applyFont="1" applyFill="1" applyBorder="1" applyAlignment="1">
      <alignment horizontal="right" vertical="center" wrapText="1"/>
      <protection/>
    </xf>
    <xf numFmtId="4" fontId="18" fillId="0" borderId="72" xfId="39" applyNumberFormat="1" applyFont="1" applyBorder="1" applyAlignment="1">
      <alignment horizontal="right" vertical="center" wrapText="1"/>
      <protection/>
    </xf>
    <xf numFmtId="4" fontId="18" fillId="0" borderId="52" xfId="39" applyNumberFormat="1" applyFont="1" applyBorder="1" applyAlignment="1">
      <alignment horizontal="right" vertical="center" wrapText="1"/>
      <protection/>
    </xf>
    <xf numFmtId="4" fontId="18" fillId="0" borderId="52" xfId="38" applyNumberFormat="1" applyFont="1" applyFill="1" applyBorder="1" applyAlignment="1">
      <alignment horizontal="right" vertical="center"/>
      <protection/>
    </xf>
    <xf numFmtId="4" fontId="18" fillId="0" borderId="51" xfId="38" applyNumberFormat="1" applyFont="1" applyFill="1" applyBorder="1" applyAlignment="1">
      <alignment horizontal="right" vertical="center" wrapText="1"/>
      <protection/>
    </xf>
    <xf numFmtId="4" fontId="18" fillId="0" borderId="49" xfId="38" applyNumberFormat="1" applyFont="1" applyFill="1" applyBorder="1" applyAlignment="1">
      <alignment horizontal="right" vertical="center" wrapText="1"/>
      <protection/>
    </xf>
    <xf numFmtId="4" fontId="18" fillId="0" borderId="47" xfId="38" applyNumberFormat="1" applyFont="1" applyFill="1" applyBorder="1" applyAlignment="1">
      <alignment horizontal="right" vertical="center"/>
      <protection/>
    </xf>
    <xf numFmtId="4" fontId="18" fillId="0" borderId="20" xfId="39" applyNumberFormat="1" applyFont="1" applyBorder="1" applyAlignment="1">
      <alignment horizontal="right" vertical="center" wrapText="1"/>
      <protection/>
    </xf>
    <xf numFmtId="4" fontId="18" fillId="0" borderId="24" xfId="39" applyNumberFormat="1" applyFont="1" applyBorder="1" applyAlignment="1">
      <alignment horizontal="right" vertical="center" wrapText="1"/>
      <protection/>
    </xf>
    <xf numFmtId="4" fontId="18" fillId="0" borderId="23" xfId="38" applyNumberFormat="1" applyFont="1" applyFill="1" applyBorder="1" applyAlignment="1">
      <alignment horizontal="right" vertical="center" wrapText="1"/>
      <protection/>
    </xf>
    <xf numFmtId="4" fontId="18" fillId="0" borderId="22" xfId="38" applyNumberFormat="1" applyFont="1" applyFill="1" applyBorder="1" applyAlignment="1">
      <alignment horizontal="right" vertical="center" wrapText="1"/>
      <protection/>
    </xf>
    <xf numFmtId="4" fontId="18" fillId="20" borderId="20" xfId="39" applyNumberFormat="1" applyFont="1" applyFill="1" applyBorder="1" applyAlignment="1">
      <alignment horizontal="right" vertical="center" wrapText="1"/>
      <protection/>
    </xf>
    <xf numFmtId="4" fontId="49" fillId="20" borderId="24" xfId="39" applyNumberFormat="1" applyFont="1" applyFill="1" applyBorder="1" applyAlignment="1">
      <alignment horizontal="right" vertical="center" wrapText="1"/>
      <protection/>
    </xf>
    <xf numFmtId="4" fontId="18" fillId="20" borderId="22" xfId="39" applyNumberFormat="1" applyFont="1" applyFill="1" applyBorder="1" applyAlignment="1">
      <alignment horizontal="right" vertical="center" wrapText="1"/>
      <protection/>
    </xf>
    <xf numFmtId="4" fontId="18" fillId="20" borderId="23" xfId="39" applyNumberFormat="1" applyFont="1" applyFill="1" applyBorder="1" applyAlignment="1">
      <alignment horizontal="right" vertical="center" wrapText="1"/>
      <protection/>
    </xf>
    <xf numFmtId="4" fontId="18" fillId="0" borderId="22" xfId="38" applyNumberFormat="1" applyFont="1" applyFill="1" applyBorder="1" applyAlignment="1">
      <alignment/>
      <protection/>
    </xf>
    <xf numFmtId="4" fontId="18" fillId="0" borderId="24" xfId="38" applyNumberFormat="1" applyFont="1" applyFill="1" applyBorder="1" applyAlignment="1">
      <alignment/>
      <protection/>
    </xf>
    <xf numFmtId="4" fontId="18" fillId="0" borderId="23" xfId="38" applyNumberFormat="1" applyFont="1" applyFill="1" applyBorder="1" applyAlignment="1">
      <alignment/>
      <protection/>
    </xf>
    <xf numFmtId="4" fontId="18" fillId="0" borderId="14" xfId="38" applyNumberFormat="1" applyFont="1" applyFill="1" applyBorder="1" applyAlignment="1">
      <alignment horizontal="right"/>
      <protection/>
    </xf>
    <xf numFmtId="4" fontId="18" fillId="0" borderId="11" xfId="38" applyNumberFormat="1" applyFont="1" applyBorder="1" applyAlignment="1">
      <alignment horizontal="right" vertical="center"/>
      <protection/>
    </xf>
    <xf numFmtId="4" fontId="18" fillId="0" borderId="14" xfId="38" applyNumberFormat="1" applyFont="1" applyBorder="1" applyAlignment="1">
      <alignment horizontal="right" vertical="center"/>
      <protection/>
    </xf>
    <xf numFmtId="4" fontId="18" fillId="20" borderId="21" xfId="39" applyNumberFormat="1" applyFont="1" applyFill="1" applyBorder="1" applyAlignment="1">
      <alignment horizontal="right" vertical="center" wrapText="1"/>
      <protection/>
    </xf>
    <xf numFmtId="4" fontId="49" fillId="20" borderId="26" xfId="39" applyNumberFormat="1" applyFont="1" applyFill="1" applyBorder="1" applyAlignment="1">
      <alignment horizontal="right" vertical="center" wrapText="1"/>
      <protection/>
    </xf>
    <xf numFmtId="4" fontId="18" fillId="20" borderId="27" xfId="38" applyNumberFormat="1" applyFont="1" applyFill="1" applyBorder="1" applyAlignment="1">
      <alignment horizontal="right" vertical="center"/>
      <protection/>
    </xf>
    <xf numFmtId="4" fontId="49" fillId="20" borderId="26" xfId="38" applyNumberFormat="1" applyFont="1" applyFill="1" applyBorder="1" applyAlignment="1">
      <alignment horizontal="right" vertical="center"/>
      <protection/>
    </xf>
    <xf numFmtId="4" fontId="18" fillId="20" borderId="25" xfId="38" applyNumberFormat="1" applyFont="1" applyFill="1" applyBorder="1" applyAlignment="1">
      <alignment horizontal="right" vertical="center"/>
      <protection/>
    </xf>
    <xf numFmtId="4" fontId="18" fillId="20" borderId="27" xfId="39" applyNumberFormat="1" applyFont="1" applyFill="1" applyBorder="1" applyAlignment="1">
      <alignment horizontal="right" vertical="center"/>
      <protection/>
    </xf>
    <xf numFmtId="4" fontId="49" fillId="20" borderId="26" xfId="39" applyNumberFormat="1" applyFont="1" applyFill="1" applyBorder="1" applyAlignment="1">
      <alignment horizontal="right" vertical="center"/>
      <protection/>
    </xf>
    <xf numFmtId="4" fontId="18" fillId="9" borderId="42" xfId="39" applyNumberFormat="1" applyFont="1" applyFill="1" applyBorder="1" applyAlignment="1">
      <alignment horizontal="right" vertical="center" wrapText="1"/>
      <protection/>
    </xf>
    <xf numFmtId="4" fontId="49" fillId="9" borderId="39" xfId="39" applyNumberFormat="1" applyFont="1" applyFill="1" applyBorder="1" applyAlignment="1">
      <alignment horizontal="right" vertical="center" wrapText="1"/>
      <protection/>
    </xf>
    <xf numFmtId="4" fontId="18" fillId="9" borderId="30" xfId="38" applyNumberFormat="1" applyFont="1" applyFill="1" applyBorder="1" applyAlignment="1">
      <alignment horizontal="right" vertical="center"/>
      <protection/>
    </xf>
    <xf numFmtId="4" fontId="49" fillId="9" borderId="39" xfId="38" applyNumberFormat="1" applyFont="1" applyFill="1" applyBorder="1" applyAlignment="1">
      <alignment horizontal="right" vertical="center"/>
      <protection/>
    </xf>
    <xf numFmtId="4" fontId="18" fillId="9" borderId="41" xfId="38" applyNumberFormat="1" applyFont="1" applyFill="1" applyBorder="1" applyAlignment="1">
      <alignment horizontal="right" vertical="center"/>
      <protection/>
    </xf>
    <xf numFmtId="4" fontId="49" fillId="9" borderId="39" xfId="39" applyNumberFormat="1" applyFont="1" applyFill="1" applyBorder="1" applyAlignment="1">
      <alignment horizontal="right" vertical="center"/>
      <protection/>
    </xf>
    <xf numFmtId="4" fontId="51" fillId="9" borderId="20" xfId="39" applyNumberFormat="1" applyFont="1" applyFill="1" applyBorder="1" applyAlignment="1">
      <alignment/>
      <protection/>
    </xf>
    <xf numFmtId="4" fontId="51" fillId="9" borderId="24" xfId="39" applyNumberFormat="1" applyFont="1" applyFill="1" applyBorder="1" applyAlignment="1">
      <alignment/>
      <protection/>
    </xf>
    <xf numFmtId="4" fontId="18" fillId="9" borderId="22" xfId="38" applyNumberFormat="1" applyFont="1" applyFill="1" applyBorder="1" applyAlignment="1">
      <alignment horizontal="right" vertical="center"/>
      <protection/>
    </xf>
    <xf numFmtId="4" fontId="18" fillId="9" borderId="24" xfId="38" applyNumberFormat="1" applyFont="1" applyFill="1" applyBorder="1" applyAlignment="1">
      <alignment horizontal="right" vertical="center"/>
      <protection/>
    </xf>
    <xf numFmtId="4" fontId="18" fillId="9" borderId="23" xfId="38" applyNumberFormat="1" applyFont="1" applyFill="1" applyBorder="1" applyAlignment="1">
      <alignment horizontal="right" vertical="center"/>
      <protection/>
    </xf>
    <xf numFmtId="4" fontId="18" fillId="0" borderId="11" xfId="38" applyNumberFormat="1" applyFont="1" applyFill="1" applyBorder="1" applyAlignment="1">
      <alignment horizontal="right"/>
      <protection/>
    </xf>
    <xf numFmtId="4" fontId="18" fillId="0" borderId="20" xfId="80" applyNumberFormat="1" applyFont="1" applyFill="1" applyBorder="1" applyAlignment="1">
      <alignment horizontal="right" vertical="center"/>
      <protection/>
    </xf>
    <xf numFmtId="4" fontId="18" fillId="19" borderId="20" xfId="39" applyNumberFormat="1" applyFont="1" applyFill="1" applyBorder="1" applyAlignment="1">
      <alignment horizontal="right" vertical="center"/>
      <protection/>
    </xf>
    <xf numFmtId="4" fontId="49" fillId="19" borderId="24" xfId="39" applyNumberFormat="1" applyFont="1" applyFill="1" applyBorder="1" applyAlignment="1">
      <alignment horizontal="right" vertical="center"/>
      <protection/>
    </xf>
    <xf numFmtId="4" fontId="18" fillId="21" borderId="22" xfId="39" applyNumberFormat="1" applyFont="1" applyFill="1" applyBorder="1" applyAlignment="1" applyProtection="1">
      <alignment horizontal="right" vertical="center"/>
      <protection locked="0"/>
    </xf>
    <xf numFmtId="4" fontId="18" fillId="21" borderId="23" xfId="39" applyNumberFormat="1" applyFont="1" applyFill="1" applyBorder="1" applyAlignment="1" applyProtection="1">
      <alignment horizontal="right" vertical="center"/>
      <protection locked="0"/>
    </xf>
    <xf numFmtId="4" fontId="49" fillId="21" borderId="24" xfId="39" applyNumberFormat="1" applyFont="1" applyFill="1" applyBorder="1" applyAlignment="1" applyProtection="1">
      <alignment horizontal="right" vertical="center"/>
      <protection locked="0"/>
    </xf>
    <xf numFmtId="4" fontId="18" fillId="0" borderId="10" xfId="39" applyNumberFormat="1" applyFont="1" applyFill="1" applyBorder="1" applyAlignment="1" applyProtection="1">
      <alignment horizontal="right" vertical="center"/>
      <protection/>
    </xf>
    <xf numFmtId="4" fontId="18" fillId="18" borderId="20" xfId="39" applyNumberFormat="1" applyFont="1" applyFill="1" applyBorder="1" applyAlignment="1">
      <alignment horizontal="right" vertical="center"/>
      <protection/>
    </xf>
    <xf numFmtId="4" fontId="49" fillId="18" borderId="24" xfId="39" applyNumberFormat="1" applyFont="1" applyFill="1" applyBorder="1" applyAlignment="1">
      <alignment horizontal="right" vertical="center"/>
      <protection/>
    </xf>
    <xf numFmtId="4" fontId="18" fillId="18" borderId="22" xfId="39" applyNumberFormat="1" applyFont="1" applyFill="1" applyBorder="1" applyAlignment="1">
      <alignment horizontal="right" vertical="center"/>
      <protection/>
    </xf>
    <xf numFmtId="4" fontId="18" fillId="18" borderId="23" xfId="39" applyNumberFormat="1" applyFont="1" applyFill="1" applyBorder="1" applyAlignment="1">
      <alignment horizontal="right" vertical="center"/>
      <protection/>
    </xf>
    <xf numFmtId="4" fontId="18" fillId="0" borderId="22" xfId="39" applyNumberFormat="1" applyFont="1" applyFill="1" applyBorder="1" applyAlignment="1">
      <alignment horizontal="right" vertical="center"/>
      <protection/>
    </xf>
    <xf numFmtId="4" fontId="18" fillId="0" borderId="24" xfId="39" applyNumberFormat="1" applyFont="1" applyFill="1" applyBorder="1" applyAlignment="1">
      <alignment horizontal="right" vertical="center"/>
      <protection/>
    </xf>
    <xf numFmtId="4" fontId="18" fillId="19" borderId="20" xfId="39" applyNumberFormat="1" applyFont="1" applyFill="1" applyBorder="1" applyAlignment="1" applyProtection="1">
      <alignment horizontal="right" vertical="center"/>
      <protection/>
    </xf>
    <xf numFmtId="4" fontId="18" fillId="20" borderId="10" xfId="39" applyNumberFormat="1" applyFont="1" applyFill="1" applyBorder="1" applyAlignment="1">
      <alignment horizontal="right" vertical="center"/>
      <protection/>
    </xf>
    <xf numFmtId="4" fontId="49" fillId="20" borderId="12" xfId="39" applyNumberFormat="1" applyFont="1" applyFill="1" applyBorder="1" applyAlignment="1">
      <alignment horizontal="right" vertical="center"/>
      <protection/>
    </xf>
    <xf numFmtId="4" fontId="18" fillId="20" borderId="14" xfId="39" applyNumberFormat="1" applyFont="1" applyFill="1" applyBorder="1" applyAlignment="1">
      <alignment horizontal="right" vertical="center"/>
      <protection/>
    </xf>
    <xf numFmtId="4" fontId="18" fillId="20" borderId="11" xfId="39" applyNumberFormat="1" applyFont="1" applyFill="1" applyBorder="1" applyAlignment="1">
      <alignment horizontal="right" vertical="center"/>
      <protection/>
    </xf>
    <xf numFmtId="4" fontId="18" fillId="0" borderId="20" xfId="39" applyNumberFormat="1" applyFont="1" applyFill="1" applyBorder="1" applyAlignment="1">
      <alignment horizontal="right" vertical="center"/>
      <protection/>
    </xf>
    <xf numFmtId="4" fontId="49" fillId="0" borderId="24" xfId="38" applyNumberFormat="1" applyFont="1" applyFill="1" applyBorder="1" applyAlignment="1">
      <alignment horizontal="right" vertical="center"/>
      <protection/>
    </xf>
    <xf numFmtId="4" fontId="49" fillId="0" borderId="23" xfId="38" applyNumberFormat="1" applyFont="1" applyFill="1" applyBorder="1" applyAlignment="1">
      <alignment horizontal="right" vertical="center"/>
      <protection/>
    </xf>
    <xf numFmtId="4" fontId="18" fillId="0" borderId="14" xfId="38" applyNumberFormat="1" applyFont="1" applyFill="1" applyBorder="1" applyAlignment="1">
      <alignment vertical="center"/>
      <protection/>
    </xf>
    <xf numFmtId="4" fontId="18" fillId="0" borderId="11" xfId="38" applyNumberFormat="1" applyFont="1" applyFill="1" applyBorder="1" applyAlignment="1">
      <alignment vertical="center"/>
      <protection/>
    </xf>
    <xf numFmtId="4" fontId="18" fillId="0" borderId="14" xfId="38" applyNumberFormat="1" applyFont="1" applyFill="1" applyBorder="1" applyAlignment="1" applyProtection="1">
      <alignment horizontal="right" vertical="center"/>
      <protection/>
    </xf>
    <xf numFmtId="4" fontId="18" fillId="0" borderId="22" xfId="38" applyNumberFormat="1" applyFont="1" applyFill="1" applyBorder="1" applyAlignment="1" applyProtection="1">
      <alignment horizontal="right" vertical="center"/>
      <protection/>
    </xf>
    <xf numFmtId="4" fontId="18" fillId="0" borderId="10" xfId="80" applyNumberFormat="1" applyFont="1" applyFill="1" applyBorder="1" applyAlignment="1">
      <alignment horizontal="right" vertical="center"/>
      <protection/>
    </xf>
    <xf numFmtId="4" fontId="18" fillId="20" borderId="21" xfId="39" applyNumberFormat="1" applyFont="1" applyFill="1" applyBorder="1" applyAlignment="1">
      <alignment horizontal="right" vertical="center"/>
      <protection/>
    </xf>
    <xf numFmtId="4" fontId="18" fillId="20" borderId="25" xfId="39" applyNumberFormat="1" applyFont="1" applyFill="1" applyBorder="1" applyAlignment="1">
      <alignment horizontal="right" vertical="center"/>
      <protection/>
    </xf>
    <xf numFmtId="4" fontId="49" fillId="9" borderId="42" xfId="39" applyNumberFormat="1" applyFont="1" applyFill="1" applyBorder="1" applyAlignment="1">
      <alignment vertical="center"/>
      <protection/>
    </xf>
    <xf numFmtId="4" fontId="49" fillId="9" borderId="30" xfId="39" applyNumberFormat="1" applyFont="1" applyFill="1" applyBorder="1" applyAlignment="1">
      <alignment vertical="center"/>
      <protection/>
    </xf>
    <xf numFmtId="4" fontId="49" fillId="9" borderId="41" xfId="39" applyNumberFormat="1" applyFont="1" applyFill="1" applyBorder="1" applyAlignment="1">
      <alignment vertical="center"/>
      <protection/>
    </xf>
    <xf numFmtId="4" fontId="51" fillId="9" borderId="73" xfId="39" applyNumberFormat="1" applyFont="1" applyFill="1" applyBorder="1" applyAlignment="1">
      <alignment vertical="center"/>
      <protection/>
    </xf>
    <xf numFmtId="4" fontId="51" fillId="9" borderId="74" xfId="39" applyNumberFormat="1" applyFont="1" applyFill="1" applyBorder="1" applyAlignment="1">
      <alignment vertical="center"/>
      <protection/>
    </xf>
    <xf numFmtId="4" fontId="51" fillId="9" borderId="31" xfId="39" applyNumberFormat="1" applyFont="1" applyFill="1" applyBorder="1" applyAlignment="1">
      <alignment vertical="center"/>
      <protection/>
    </xf>
    <xf numFmtId="4" fontId="51" fillId="9" borderId="75" xfId="39" applyNumberFormat="1" applyFont="1" applyFill="1" applyBorder="1" applyAlignment="1">
      <alignment vertical="center"/>
      <protection/>
    </xf>
    <xf numFmtId="4" fontId="18" fillId="0" borderId="10" xfId="35" applyNumberFormat="1" applyFont="1" applyFill="1" applyBorder="1" applyAlignment="1" applyProtection="1">
      <alignment horizontal="right" vertical="center"/>
      <protection/>
    </xf>
    <xf numFmtId="4" fontId="18" fillId="0" borderId="12" xfId="35" applyNumberFormat="1" applyFont="1" applyFill="1" applyBorder="1" applyAlignment="1">
      <alignment horizontal="right" vertical="center"/>
      <protection/>
    </xf>
    <xf numFmtId="4" fontId="49" fillId="2" borderId="14" xfId="38" applyNumberFormat="1" applyFont="1" applyFill="1" applyBorder="1" applyAlignment="1">
      <alignment horizontal="right" vertical="center"/>
      <protection/>
    </xf>
    <xf numFmtId="4" fontId="49" fillId="2" borderId="11" xfId="38" applyNumberFormat="1" applyFont="1" applyFill="1" applyBorder="1" applyAlignment="1">
      <alignment horizontal="right" vertical="center"/>
      <protection/>
    </xf>
    <xf numFmtId="4" fontId="18" fillId="0" borderId="20" xfId="35" applyNumberFormat="1" applyFont="1" applyFill="1" applyBorder="1" applyAlignment="1" applyProtection="1">
      <alignment horizontal="right" vertical="center"/>
      <protection/>
    </xf>
    <xf numFmtId="4" fontId="18" fillId="0" borderId="24" xfId="35" applyNumberFormat="1" applyFont="1" applyFill="1" applyBorder="1" applyAlignment="1">
      <alignment horizontal="right" vertical="center"/>
      <protection/>
    </xf>
    <xf numFmtId="4" fontId="49" fillId="0" borderId="22" xfId="38" applyNumberFormat="1" applyFont="1" applyFill="1" applyBorder="1" applyAlignment="1">
      <alignment horizontal="right" vertical="center"/>
      <protection/>
    </xf>
    <xf numFmtId="4" fontId="18" fillId="2" borderId="12" xfId="35" applyNumberFormat="1" applyFont="1" applyFill="1" applyBorder="1" applyAlignment="1">
      <alignment horizontal="right" vertical="center"/>
      <protection/>
    </xf>
    <xf numFmtId="4" fontId="18" fillId="0" borderId="11" xfId="38" applyNumberFormat="1" applyFont="1" applyFill="1" applyBorder="1" applyAlignment="1" applyProtection="1">
      <alignment horizontal="right" vertical="center"/>
      <protection/>
    </xf>
    <xf numFmtId="4" fontId="18" fillId="2" borderId="24" xfId="35" applyNumberFormat="1" applyFont="1" applyFill="1" applyBorder="1" applyAlignment="1">
      <alignment horizontal="right" vertical="center"/>
      <protection/>
    </xf>
    <xf numFmtId="4" fontId="18" fillId="0" borderId="23" xfId="38" applyNumberFormat="1" applyFont="1" applyFill="1" applyBorder="1" applyAlignment="1" applyProtection="1">
      <alignment horizontal="right" vertical="center"/>
      <protection/>
    </xf>
    <xf numFmtId="4" fontId="18" fillId="19" borderId="46" xfId="39" applyNumberFormat="1" applyFont="1" applyFill="1" applyBorder="1" applyAlignment="1">
      <alignment horizontal="right" vertical="center"/>
      <protection/>
    </xf>
    <xf numFmtId="4" fontId="49" fillId="19" borderId="47" xfId="39" applyNumberFormat="1" applyFont="1" applyFill="1" applyBorder="1" applyAlignment="1">
      <alignment horizontal="right" vertical="center"/>
      <protection/>
    </xf>
    <xf numFmtId="4" fontId="18" fillId="19" borderId="48" xfId="39" applyNumberFormat="1" applyFont="1" applyFill="1" applyBorder="1" applyAlignment="1">
      <alignment horizontal="right" vertical="center"/>
      <protection/>
    </xf>
    <xf numFmtId="4" fontId="18" fillId="19" borderId="33" xfId="39" applyNumberFormat="1" applyFont="1" applyFill="1" applyBorder="1" applyAlignment="1">
      <alignment horizontal="right" vertical="center"/>
      <protection/>
    </xf>
    <xf numFmtId="4" fontId="49" fillId="0" borderId="24" xfId="39" applyNumberFormat="1" applyFont="1" applyFill="1" applyBorder="1" applyAlignment="1">
      <alignment horizontal="right" vertical="center"/>
      <protection/>
    </xf>
    <xf numFmtId="4" fontId="18" fillId="0" borderId="23" xfId="39" applyNumberFormat="1" applyFont="1" applyFill="1" applyBorder="1" applyAlignment="1">
      <alignment horizontal="right" vertical="center"/>
      <protection/>
    </xf>
    <xf numFmtId="4" fontId="18" fillId="19" borderId="10" xfId="39" applyNumberFormat="1" applyFont="1" applyFill="1" applyBorder="1" applyAlignment="1">
      <alignment horizontal="right" vertical="center"/>
      <protection/>
    </xf>
    <xf numFmtId="4" fontId="49" fillId="19" borderId="12" xfId="39" applyNumberFormat="1" applyFont="1" applyFill="1" applyBorder="1" applyAlignment="1">
      <alignment horizontal="right" vertical="center"/>
      <protection/>
    </xf>
    <xf numFmtId="4" fontId="18" fillId="19" borderId="14" xfId="39" applyNumberFormat="1" applyFont="1" applyFill="1" applyBorder="1" applyAlignment="1">
      <alignment horizontal="right" vertical="center"/>
      <protection/>
    </xf>
    <xf numFmtId="4" fontId="18" fillId="19" borderId="11" xfId="39" applyNumberFormat="1" applyFont="1" applyFill="1" applyBorder="1" applyAlignment="1">
      <alignment horizontal="right" vertical="center"/>
      <protection/>
    </xf>
    <xf numFmtId="4" fontId="18" fillId="0" borderId="24" xfId="38" applyNumberFormat="1" applyFont="1" applyFill="1" applyBorder="1" applyAlignment="1" applyProtection="1">
      <alignment horizontal="right" vertical="center"/>
      <protection/>
    </xf>
    <xf numFmtId="4" fontId="18" fillId="0" borderId="20" xfId="35" applyNumberFormat="1" applyFont="1" applyFill="1" applyBorder="1" applyAlignment="1">
      <alignment horizontal="right" vertical="center"/>
      <protection/>
    </xf>
    <xf numFmtId="4" fontId="18" fillId="19" borderId="22" xfId="39" applyNumberFormat="1" applyFont="1" applyFill="1" applyBorder="1" applyAlignment="1">
      <alignment horizontal="right" vertical="center"/>
      <protection/>
    </xf>
    <xf numFmtId="4" fontId="18" fillId="19" borderId="23" xfId="39" applyNumberFormat="1" applyFont="1" applyFill="1" applyBorder="1" applyAlignment="1">
      <alignment horizontal="right" vertical="center"/>
      <protection/>
    </xf>
    <xf numFmtId="4" fontId="18" fillId="0" borderId="10" xfId="35" applyNumberFormat="1" applyFont="1" applyFill="1" applyBorder="1" applyAlignment="1">
      <alignment horizontal="right" vertical="center"/>
      <protection/>
    </xf>
    <xf numFmtId="4" fontId="18" fillId="20" borderId="19" xfId="39" applyNumberFormat="1" applyFont="1" applyFill="1" applyBorder="1" applyAlignment="1">
      <alignment horizontal="right" vertical="center"/>
      <protection/>
    </xf>
    <xf numFmtId="4" fontId="49" fillId="20" borderId="76" xfId="39" applyNumberFormat="1" applyFont="1" applyFill="1" applyBorder="1" applyAlignment="1">
      <alignment horizontal="right" vertical="center"/>
      <protection/>
    </xf>
    <xf numFmtId="4" fontId="18" fillId="20" borderId="32" xfId="39" applyNumberFormat="1" applyFont="1" applyFill="1" applyBorder="1" applyAlignment="1">
      <alignment horizontal="right" vertical="center"/>
      <protection/>
    </xf>
    <xf numFmtId="4" fontId="49" fillId="20" borderId="52" xfId="39" applyNumberFormat="1" applyFont="1" applyFill="1" applyBorder="1" applyAlignment="1">
      <alignment horizontal="right" vertical="center"/>
      <protection/>
    </xf>
    <xf numFmtId="4" fontId="18" fillId="20" borderId="51" xfId="39" applyNumberFormat="1" applyFont="1" applyFill="1" applyBorder="1" applyAlignment="1">
      <alignment horizontal="right" vertical="center"/>
      <protection/>
    </xf>
    <xf numFmtId="4" fontId="49" fillId="9" borderId="41" xfId="39" applyNumberFormat="1" applyFont="1" applyFill="1" applyBorder="1" applyAlignment="1">
      <alignment horizontal="right" vertical="center"/>
      <protection/>
    </xf>
    <xf numFmtId="4" fontId="49" fillId="9" borderId="62" xfId="39" applyNumberFormat="1" applyFont="1" applyFill="1" applyBorder="1" applyAlignment="1">
      <alignment horizontal="right" vertical="center"/>
      <protection/>
    </xf>
    <xf numFmtId="4" fontId="49" fillId="9" borderId="30" xfId="39" applyNumberFormat="1" applyFont="1" applyFill="1" applyBorder="1" applyAlignment="1">
      <alignment horizontal="right" vertical="center"/>
      <protection/>
    </xf>
    <xf numFmtId="4" fontId="18" fillId="0" borderId="47" xfId="39" applyNumberFormat="1" applyFont="1" applyFill="1" applyBorder="1" applyAlignment="1">
      <alignment horizontal="right" vertical="center"/>
      <protection/>
    </xf>
    <xf numFmtId="4" fontId="18" fillId="0" borderId="48" xfId="38" applyNumberFormat="1" applyFont="1" applyFill="1" applyBorder="1" applyAlignment="1">
      <alignment horizontal="right" vertical="center"/>
      <protection/>
    </xf>
    <xf numFmtId="4" fontId="18" fillId="0" borderId="33" xfId="38" applyNumberFormat="1" applyFont="1" applyFill="1" applyBorder="1" applyAlignment="1">
      <alignment horizontal="right" vertical="center"/>
      <protection/>
    </xf>
    <xf numFmtId="4" fontId="18" fillId="0" borderId="46" xfId="39" applyNumberFormat="1" applyFont="1" applyFill="1" applyBorder="1" applyAlignment="1">
      <alignment horizontal="right" vertical="center"/>
      <protection/>
    </xf>
    <xf numFmtId="4" fontId="18" fillId="20" borderId="77" xfId="39" applyNumberFormat="1" applyFont="1" applyFill="1" applyBorder="1" applyAlignment="1">
      <alignment horizontal="right" vertical="center"/>
      <protection/>
    </xf>
    <xf numFmtId="4" fontId="51" fillId="9" borderId="23" xfId="39" applyNumberFormat="1" applyFont="1" applyFill="1" applyBorder="1" applyAlignment="1">
      <alignment/>
      <protection/>
    </xf>
    <xf numFmtId="4" fontId="18" fillId="2" borderId="11" xfId="38" applyNumberFormat="1" applyFont="1" applyFill="1" applyBorder="1" applyAlignment="1" applyProtection="1">
      <alignment horizontal="right" vertical="center"/>
      <protection/>
    </xf>
    <xf numFmtId="4" fontId="49" fillId="9" borderId="78" xfId="39" applyNumberFormat="1" applyFont="1" applyFill="1" applyBorder="1" applyAlignment="1">
      <alignment vertical="center"/>
      <protection/>
    </xf>
    <xf numFmtId="4" fontId="49" fillId="9" borderId="79" xfId="39" applyNumberFormat="1" applyFont="1" applyFill="1" applyBorder="1" applyAlignment="1">
      <alignment horizontal="right" vertical="center"/>
      <protection/>
    </xf>
    <xf numFmtId="4" fontId="49" fillId="9" borderId="35" xfId="39" applyNumberFormat="1" applyFont="1" applyFill="1" applyBorder="1" applyAlignment="1">
      <alignment vertical="center"/>
      <protection/>
    </xf>
    <xf numFmtId="4" fontId="49" fillId="9" borderId="80" xfId="39" applyNumberFormat="1" applyFont="1" applyFill="1" applyBorder="1" applyAlignment="1">
      <alignment vertical="center"/>
      <protection/>
    </xf>
    <xf numFmtId="4" fontId="49" fillId="18" borderId="42" xfId="39" applyNumberFormat="1" applyFont="1" applyFill="1" applyBorder="1" applyAlignment="1">
      <alignment vertical="center"/>
      <protection/>
    </xf>
    <xf numFmtId="4" fontId="49" fillId="18" borderId="39" xfId="39" applyNumberFormat="1" applyFont="1" applyFill="1" applyBorder="1" applyAlignment="1">
      <alignment horizontal="right" vertical="center"/>
      <protection/>
    </xf>
    <xf numFmtId="4" fontId="49" fillId="18" borderId="30" xfId="39" applyNumberFormat="1" applyFont="1" applyFill="1" applyBorder="1" applyAlignment="1">
      <alignment vertical="center"/>
      <protection/>
    </xf>
    <xf numFmtId="4" fontId="49" fillId="18" borderId="41" xfId="39" applyNumberFormat="1" applyFont="1" applyFill="1" applyBorder="1" applyAlignment="1">
      <alignment vertical="center"/>
      <protection/>
    </xf>
    <xf numFmtId="4" fontId="49" fillId="0" borderId="0" xfId="39" applyNumberFormat="1" applyFont="1" applyFill="1" applyBorder="1" applyAlignment="1">
      <alignment vertical="center"/>
      <protection/>
    </xf>
    <xf numFmtId="4" fontId="49" fillId="0" borderId="0" xfId="39" applyNumberFormat="1" applyFont="1" applyFill="1" applyBorder="1" applyAlignment="1">
      <alignment horizontal="right" vertical="center"/>
      <protection/>
    </xf>
    <xf numFmtId="4" fontId="18" fillId="0" borderId="0" xfId="38" applyNumberFormat="1" applyFont="1" applyFill="1" applyAlignment="1">
      <alignment horizontal="right" vertical="center" wrapText="1"/>
      <protection/>
    </xf>
    <xf numFmtId="4" fontId="18" fillId="0" borderId="0" xfId="38" applyNumberFormat="1" applyFont="1" applyAlignment="1">
      <alignment horizontal="right" vertical="center" wrapText="1"/>
      <protection/>
    </xf>
    <xf numFmtId="4" fontId="18" fillId="0" borderId="0" xfId="68" applyNumberFormat="1" applyFont="1">
      <alignment/>
      <protection/>
    </xf>
    <xf numFmtId="4" fontId="18" fillId="0" borderId="0" xfId="68" applyNumberFormat="1" applyFont="1" applyAlignment="1">
      <alignment horizontal="center"/>
      <protection/>
    </xf>
    <xf numFmtId="4" fontId="50" fillId="0" borderId="0" xfId="68" applyNumberFormat="1" applyFont="1" applyAlignment="1">
      <alignment horizontal="left"/>
      <protection/>
    </xf>
    <xf numFmtId="4" fontId="18" fillId="0" borderId="0" xfId="68" applyNumberFormat="1" applyFont="1" applyAlignment="1">
      <alignment horizontal="left" vertical="top"/>
      <protection/>
    </xf>
    <xf numFmtId="4" fontId="18" fillId="0" borderId="0" xfId="67" applyNumberFormat="1" applyFont="1" applyAlignment="1" applyProtection="1">
      <alignment horizontal="left" vertical="top"/>
      <protection hidden="1"/>
    </xf>
    <xf numFmtId="4" fontId="18" fillId="0" borderId="0" xfId="68" applyNumberFormat="1" applyFont="1" applyAlignment="1">
      <alignment horizontal="right"/>
      <protection/>
    </xf>
    <xf numFmtId="0" fontId="9" fillId="0" borderId="0" xfId="68" applyFont="1" applyFill="1">
      <alignment/>
      <protection/>
    </xf>
    <xf numFmtId="0" fontId="51" fillId="9" borderId="32" xfId="39" applyFont="1" applyFill="1" applyBorder="1" applyAlignment="1">
      <alignment vertical="center"/>
      <protection/>
    </xf>
    <xf numFmtId="4" fontId="51" fillId="9" borderId="19" xfId="39" applyNumberFormat="1" applyFont="1" applyFill="1" applyBorder="1" applyAlignment="1">
      <alignment vertical="center"/>
      <protection/>
    </xf>
    <xf numFmtId="4" fontId="51" fillId="9" borderId="76" xfId="39" applyNumberFormat="1" applyFont="1" applyFill="1" applyBorder="1" applyAlignment="1">
      <alignment vertical="center"/>
      <protection/>
    </xf>
    <xf numFmtId="4" fontId="51" fillId="9" borderId="32" xfId="39" applyNumberFormat="1" applyFont="1" applyFill="1" applyBorder="1" applyAlignment="1">
      <alignment vertical="center"/>
      <protection/>
    </xf>
    <xf numFmtId="4" fontId="51" fillId="9" borderId="77" xfId="39" applyNumberFormat="1" applyFont="1" applyFill="1" applyBorder="1" applyAlignment="1">
      <alignment vertical="center"/>
      <protection/>
    </xf>
    <xf numFmtId="49" fontId="49" fillId="0" borderId="31" xfId="39" applyNumberFormat="1" applyFont="1" applyFill="1" applyBorder="1" applyAlignment="1">
      <alignment horizontal="left" vertical="center" wrapText="1"/>
      <protection/>
    </xf>
    <xf numFmtId="4" fontId="18" fillId="0" borderId="73" xfId="39" applyNumberFormat="1" applyFont="1" applyFill="1" applyBorder="1" applyAlignment="1">
      <alignment horizontal="right" vertical="center"/>
      <protection/>
    </xf>
    <xf numFmtId="4" fontId="18" fillId="0" borderId="74" xfId="39" applyNumberFormat="1" applyFont="1" applyFill="1" applyBorder="1" applyAlignment="1">
      <alignment horizontal="right" vertical="center"/>
      <protection/>
    </xf>
    <xf numFmtId="4" fontId="18" fillId="0" borderId="31" xfId="38" applyNumberFormat="1" applyFont="1" applyFill="1" applyBorder="1" applyAlignment="1">
      <alignment horizontal="right" vertical="center"/>
      <protection/>
    </xf>
    <xf numFmtId="4" fontId="18" fillId="0" borderId="74" xfId="38" applyNumberFormat="1" applyFont="1" applyFill="1" applyBorder="1" applyAlignment="1">
      <alignment horizontal="right" vertical="center"/>
      <protection/>
    </xf>
    <xf numFmtId="4" fontId="18" fillId="0" borderId="75" xfId="38" applyNumberFormat="1" applyFont="1" applyFill="1" applyBorder="1" applyAlignment="1">
      <alignment horizontal="right" vertical="center"/>
      <protection/>
    </xf>
    <xf numFmtId="49" fontId="49" fillId="0" borderId="48" xfId="39" applyNumberFormat="1" applyFont="1" applyFill="1" applyBorder="1" applyAlignment="1">
      <alignment horizontal="left" vertical="center" wrapText="1"/>
      <protection/>
    </xf>
    <xf numFmtId="4" fontId="18" fillId="22" borderId="14" xfId="39" applyNumberFormat="1" applyFont="1" applyFill="1" applyBorder="1" applyAlignment="1">
      <alignment horizontal="right" vertical="center"/>
      <protection/>
    </xf>
    <xf numFmtId="4" fontId="18" fillId="22" borderId="12" xfId="39" applyNumberFormat="1" applyFont="1" applyFill="1" applyBorder="1" applyAlignment="1">
      <alignment horizontal="right" vertical="center"/>
      <protection/>
    </xf>
    <xf numFmtId="4" fontId="18" fillId="22" borderId="11" xfId="39" applyNumberFormat="1" applyFont="1" applyFill="1" applyBorder="1" applyAlignment="1">
      <alignment horizontal="right" vertical="center"/>
      <protection/>
    </xf>
    <xf numFmtId="4" fontId="18" fillId="22" borderId="12" xfId="35" applyNumberFormat="1" applyFont="1" applyFill="1" applyBorder="1" applyAlignment="1">
      <alignment horizontal="right" vertical="center"/>
      <protection/>
    </xf>
    <xf numFmtId="0" fontId="4" fillId="23" borderId="0" xfId="38" applyFont="1" applyFill="1" applyAlignment="1">
      <alignment horizontal="center" vertical="center" wrapText="1"/>
      <protection/>
    </xf>
    <xf numFmtId="4" fontId="49" fillId="9" borderId="72" xfId="39" applyNumberFormat="1" applyFont="1" applyFill="1" applyBorder="1" applyAlignment="1">
      <alignment vertical="center"/>
      <protection/>
    </xf>
    <xf numFmtId="4" fontId="49" fillId="9" borderId="52" xfId="39" applyNumberFormat="1" applyFont="1" applyFill="1" applyBorder="1" applyAlignment="1">
      <alignment horizontal="right" vertical="center"/>
      <protection/>
    </xf>
    <xf numFmtId="4" fontId="49" fillId="9" borderId="49" xfId="39" applyNumberFormat="1" applyFont="1" applyFill="1" applyBorder="1" applyAlignment="1">
      <alignment vertical="center"/>
      <protection/>
    </xf>
    <xf numFmtId="0" fontId="18" fillId="9" borderId="14" xfId="38" applyNumberFormat="1" applyFont="1" applyFill="1" applyBorder="1" applyAlignment="1">
      <alignment horizontal="center" vertical="center" wrapText="1"/>
      <protection/>
    </xf>
    <xf numFmtId="0" fontId="18" fillId="9" borderId="10" xfId="38" applyNumberFormat="1" applyFont="1" applyFill="1" applyBorder="1" applyAlignment="1">
      <alignment horizontal="center" vertical="center" wrapText="1"/>
      <protection/>
    </xf>
    <xf numFmtId="0" fontId="18" fillId="9" borderId="12" xfId="38" applyNumberFormat="1" applyFont="1" applyFill="1" applyBorder="1" applyAlignment="1">
      <alignment horizontal="center" vertical="center" wrapText="1"/>
      <protection/>
    </xf>
    <xf numFmtId="0" fontId="18" fillId="9" borderId="11" xfId="38" applyNumberFormat="1" applyFont="1" applyFill="1" applyBorder="1" applyAlignment="1">
      <alignment horizontal="center" vertical="center" wrapText="1"/>
      <protection/>
    </xf>
    <xf numFmtId="0" fontId="18" fillId="9" borderId="15" xfId="38" applyNumberFormat="1" applyFont="1" applyFill="1" applyBorder="1" applyAlignment="1">
      <alignment horizontal="center" vertical="center" wrapText="1"/>
      <protection/>
    </xf>
    <xf numFmtId="0" fontId="18" fillId="9" borderId="44" xfId="38" applyNumberFormat="1" applyFont="1" applyFill="1" applyBorder="1" applyAlignment="1">
      <alignment horizontal="center" vertical="center" wrapText="1"/>
      <protection/>
    </xf>
    <xf numFmtId="0" fontId="18" fillId="9" borderId="53" xfId="38" applyNumberFormat="1" applyFont="1" applyFill="1" applyBorder="1" applyAlignment="1">
      <alignment horizontal="center" vertical="center" wrapText="1"/>
      <protection/>
    </xf>
    <xf numFmtId="4" fontId="73" fillId="2" borderId="10" xfId="68" applyNumberFormat="1" applyFont="1" applyFill="1" applyBorder="1" applyAlignment="1" applyProtection="1">
      <alignment horizontal="center" vertical="center"/>
      <protection locked="0"/>
    </xf>
    <xf numFmtId="4" fontId="63" fillId="0" borderId="10" xfId="68" applyNumberFormat="1" applyFont="1" applyBorder="1" applyAlignment="1" applyProtection="1">
      <alignment horizontal="center" vertical="center"/>
      <protection/>
    </xf>
    <xf numFmtId="4" fontId="12" fillId="2" borderId="0" xfId="68" applyNumberFormat="1" applyFont="1" applyFill="1" applyAlignment="1" applyProtection="1">
      <alignment horizontal="left"/>
      <protection/>
    </xf>
    <xf numFmtId="4" fontId="38" fillId="2" borderId="0" xfId="68" applyNumberFormat="1" applyFont="1" applyFill="1" applyProtection="1">
      <alignment/>
      <protection/>
    </xf>
    <xf numFmtId="0" fontId="53" fillId="22" borderId="10" xfId="68" applyFont="1" applyFill="1" applyBorder="1" applyAlignment="1" applyProtection="1">
      <alignment wrapText="1"/>
      <protection/>
    </xf>
    <xf numFmtId="0" fontId="53" fillId="22" borderId="10" xfId="0" applyFont="1" applyFill="1" applyBorder="1" applyAlignment="1">
      <alignment horizontal="left" vertical="center" wrapText="1"/>
    </xf>
    <xf numFmtId="0" fontId="53" fillId="22" borderId="10" xfId="39" applyFont="1" applyFill="1" applyBorder="1" applyAlignment="1">
      <alignment horizontal="left" vertical="center" wrapText="1"/>
      <protection/>
    </xf>
    <xf numFmtId="0" fontId="53" fillId="22" borderId="10" xfId="38" applyFont="1" applyFill="1" applyBorder="1" applyAlignment="1">
      <alignment horizontal="left" vertical="center" wrapText="1"/>
      <protection/>
    </xf>
    <xf numFmtId="4" fontId="53" fillId="22" borderId="10" xfId="38" applyNumberFormat="1" applyFont="1" applyFill="1" applyBorder="1" applyAlignment="1">
      <alignment horizontal="center" vertical="center"/>
      <protection/>
    </xf>
    <xf numFmtId="0" fontId="53" fillId="22" borderId="10" xfId="0" applyFont="1" applyFill="1" applyBorder="1" applyAlignment="1">
      <alignment horizontal="justify" vertical="center" wrapText="1"/>
    </xf>
    <xf numFmtId="49" fontId="53" fillId="22" borderId="10" xfId="68" applyNumberFormat="1" applyFont="1" applyFill="1" applyBorder="1" applyAlignment="1" applyProtection="1">
      <alignment horizontal="right" vertical="center" wrapText="1"/>
      <protection/>
    </xf>
    <xf numFmtId="2" fontId="53" fillId="22" borderId="10" xfId="68" applyNumberFormat="1" applyFont="1" applyFill="1" applyBorder="1" applyAlignment="1" applyProtection="1">
      <alignment horizontal="center" vertical="center" wrapText="1"/>
      <protection/>
    </xf>
    <xf numFmtId="4" fontId="53" fillId="22" borderId="10" xfId="68" applyNumberFormat="1" applyFont="1" applyFill="1" applyBorder="1" applyAlignment="1" applyProtection="1">
      <alignment horizontal="center" vertical="center" wrapText="1"/>
      <protection/>
    </xf>
    <xf numFmtId="4" fontId="53" fillId="22" borderId="10" xfId="68" applyNumberFormat="1" applyFont="1" applyFill="1" applyBorder="1" applyAlignment="1" applyProtection="1">
      <alignment horizontal="center" vertical="center"/>
      <protection locked="0"/>
    </xf>
    <xf numFmtId="4" fontId="53" fillId="22" borderId="10" xfId="68" applyNumberFormat="1" applyFont="1" applyFill="1" applyBorder="1" applyAlignment="1" applyProtection="1">
      <alignment horizontal="center" vertical="center" wrapText="1"/>
      <protection locked="0"/>
    </xf>
    <xf numFmtId="49" fontId="53" fillId="22" borderId="10" xfId="68" applyNumberFormat="1" applyFont="1" applyFill="1" applyBorder="1" applyAlignment="1" applyProtection="1">
      <alignment horizontal="center" vertical="center"/>
      <protection locked="0"/>
    </xf>
    <xf numFmtId="0" fontId="53" fillId="22" borderId="10" xfId="68" applyFont="1" applyFill="1" applyBorder="1" applyProtection="1">
      <alignment/>
      <protection/>
    </xf>
    <xf numFmtId="0" fontId="53" fillId="22" borderId="0" xfId="68" applyFont="1" applyFill="1" applyProtection="1">
      <alignment/>
      <protection/>
    </xf>
    <xf numFmtId="0" fontId="56" fillId="22" borderId="10" xfId="68" applyFont="1" applyFill="1" applyBorder="1" applyAlignment="1" applyProtection="1">
      <alignment wrapText="1"/>
      <protection/>
    </xf>
    <xf numFmtId="4" fontId="56" fillId="22" borderId="10" xfId="68" applyNumberFormat="1" applyFont="1" applyFill="1" applyBorder="1" applyAlignment="1" applyProtection="1">
      <alignment horizontal="center" vertical="center" wrapText="1"/>
      <protection/>
    </xf>
    <xf numFmtId="4" fontId="56" fillId="22" borderId="10" xfId="68" applyNumberFormat="1" applyFont="1" applyFill="1" applyBorder="1" applyAlignment="1" applyProtection="1">
      <alignment horizontal="center" vertical="center"/>
      <protection/>
    </xf>
    <xf numFmtId="4" fontId="53" fillId="22" borderId="10" xfId="68" applyNumberFormat="1" applyFont="1" applyFill="1" applyBorder="1" applyAlignment="1" applyProtection="1">
      <alignment horizontal="center" vertical="center"/>
      <protection/>
    </xf>
    <xf numFmtId="49" fontId="53" fillId="22" borderId="10" xfId="68" applyNumberFormat="1" applyFont="1" applyFill="1" applyBorder="1" applyAlignment="1" applyProtection="1">
      <alignment horizontal="center" vertical="center"/>
      <protection/>
    </xf>
    <xf numFmtId="0" fontId="53" fillId="22" borderId="10" xfId="68" applyNumberFormat="1" applyFont="1" applyFill="1" applyBorder="1" applyAlignment="1" applyProtection="1">
      <alignment horizontal="center" vertical="center" wrapText="1"/>
      <protection/>
    </xf>
    <xf numFmtId="4" fontId="53" fillId="22" borderId="11" xfId="39" applyNumberFormat="1" applyFont="1" applyFill="1" applyBorder="1" applyAlignment="1">
      <alignment horizontal="center" vertical="center"/>
      <protection/>
    </xf>
    <xf numFmtId="165" fontId="53" fillId="22" borderId="10" xfId="0" applyNumberFormat="1" applyFont="1" applyFill="1" applyBorder="1" applyAlignment="1">
      <alignment horizontal="center" vertical="center"/>
    </xf>
    <xf numFmtId="4" fontId="56" fillId="22" borderId="10" xfId="68" applyNumberFormat="1" applyFont="1" applyFill="1" applyBorder="1" applyAlignment="1" applyProtection="1">
      <alignment horizontal="center" vertical="center"/>
      <protection locked="0"/>
    </xf>
    <xf numFmtId="0" fontId="53" fillId="22" borderId="10" xfId="35" applyFont="1" applyFill="1" applyBorder="1" applyAlignment="1">
      <alignment horizontal="left" vertical="center" wrapText="1"/>
      <protection/>
    </xf>
    <xf numFmtId="4" fontId="53" fillId="22" borderId="10" xfId="35" applyNumberFormat="1" applyFont="1" applyFill="1" applyBorder="1" applyAlignment="1">
      <alignment horizontal="center" vertical="center"/>
      <protection/>
    </xf>
    <xf numFmtId="49" fontId="53" fillId="22" borderId="10" xfId="68" applyNumberFormat="1" applyFont="1" applyFill="1" applyBorder="1" applyAlignment="1" applyProtection="1">
      <alignment horizontal="center" vertical="center" wrapText="1"/>
      <protection locked="0"/>
    </xf>
    <xf numFmtId="0" fontId="53" fillId="22" borderId="10" xfId="68" applyFont="1" applyFill="1" applyBorder="1" applyAlignment="1" applyProtection="1">
      <alignment horizontal="right" vertical="center" wrapText="1"/>
      <protection/>
    </xf>
    <xf numFmtId="200" fontId="53" fillId="22" borderId="10" xfId="68" applyNumberFormat="1" applyFont="1" applyFill="1" applyBorder="1" applyAlignment="1" applyProtection="1">
      <alignment horizontal="center" vertical="center"/>
      <protection locked="0"/>
    </xf>
    <xf numFmtId="1" fontId="53" fillId="22" borderId="10" xfId="68" applyNumberFormat="1" applyFont="1" applyFill="1" applyBorder="1" applyAlignment="1" applyProtection="1">
      <alignment horizontal="center" vertical="center" wrapText="1"/>
      <protection/>
    </xf>
    <xf numFmtId="0" fontId="53" fillId="22" borderId="10" xfId="0" applyNumberFormat="1" applyFont="1" applyFill="1" applyBorder="1" applyAlignment="1">
      <alignment horizontal="left" vertical="center" wrapText="1"/>
    </xf>
    <xf numFmtId="0" fontId="56" fillId="22" borderId="10" xfId="68" applyFont="1" applyFill="1" applyBorder="1" applyAlignment="1" applyProtection="1">
      <alignment horizontal="left" vertical="center" wrapText="1"/>
      <protection/>
    </xf>
    <xf numFmtId="3" fontId="53" fillId="22" borderId="10" xfId="68" applyNumberFormat="1" applyFont="1" applyFill="1" applyBorder="1" applyAlignment="1" applyProtection="1">
      <alignment horizontal="center" vertical="center"/>
      <protection/>
    </xf>
    <xf numFmtId="4" fontId="53" fillId="22" borderId="10" xfId="39" applyNumberFormat="1" applyFont="1" applyFill="1" applyBorder="1" applyAlignment="1">
      <alignment horizontal="center" vertical="center"/>
      <protection/>
    </xf>
    <xf numFmtId="4" fontId="53" fillId="22" borderId="11" xfId="68" applyNumberFormat="1" applyFont="1" applyFill="1" applyBorder="1" applyAlignment="1" applyProtection="1">
      <alignment horizontal="center" vertical="center" wrapText="1"/>
      <protection locked="0"/>
    </xf>
    <xf numFmtId="0" fontId="18" fillId="22" borderId="20" xfId="0" applyFont="1" applyFill="1" applyBorder="1" applyAlignment="1">
      <alignment horizontal="left" vertical="center" wrapText="1"/>
    </xf>
    <xf numFmtId="49" fontId="53" fillId="22" borderId="10" xfId="68" applyNumberFormat="1" applyFont="1" applyFill="1" applyBorder="1" applyAlignment="1" applyProtection="1">
      <alignment horizontal="center" vertical="center" wrapText="1"/>
      <protection/>
    </xf>
    <xf numFmtId="0" fontId="18" fillId="22" borderId="10" xfId="0" applyFont="1" applyFill="1" applyBorder="1" applyAlignment="1">
      <alignment horizontal="left" vertical="center" wrapText="1"/>
    </xf>
    <xf numFmtId="4" fontId="13" fillId="22" borderId="10" xfId="68" applyNumberFormat="1" applyFont="1" applyFill="1" applyBorder="1" applyAlignment="1" applyProtection="1">
      <alignment horizontal="center" vertical="center"/>
      <protection/>
    </xf>
    <xf numFmtId="0" fontId="53" fillId="22" borderId="10" xfId="68" applyFont="1" applyFill="1" applyBorder="1" applyAlignment="1" applyProtection="1">
      <alignment horizontal="center" vertical="center"/>
      <protection/>
    </xf>
    <xf numFmtId="49" fontId="53" fillId="22" borderId="10" xfId="68" applyNumberFormat="1" applyFont="1" applyFill="1" applyBorder="1" applyProtection="1">
      <alignment/>
      <protection/>
    </xf>
    <xf numFmtId="4" fontId="18" fillId="0" borderId="14" xfId="0" applyNumberFormat="1" applyFont="1" applyFill="1" applyBorder="1" applyAlignment="1">
      <alignment horizontal="right" vertical="center"/>
    </xf>
    <xf numFmtId="49" fontId="18" fillId="0" borderId="27" xfId="39" applyNumberFormat="1" applyFont="1" applyFill="1" applyBorder="1" applyAlignment="1">
      <alignment horizontal="left" vertical="center"/>
      <protection/>
    </xf>
    <xf numFmtId="4" fontId="18" fillId="0" borderId="21" xfId="39" applyNumberFormat="1" applyFont="1" applyFill="1" applyBorder="1" applyAlignment="1">
      <alignment horizontal="right" vertical="center"/>
      <protection/>
    </xf>
    <xf numFmtId="4" fontId="18" fillId="0" borderId="69" xfId="39" applyNumberFormat="1" applyFont="1" applyFill="1" applyBorder="1" applyAlignment="1">
      <alignment horizontal="right" vertical="center"/>
      <protection/>
    </xf>
    <xf numFmtId="4" fontId="18" fillId="0" borderId="26" xfId="39" applyNumberFormat="1" applyFont="1" applyFill="1" applyBorder="1" applyAlignment="1">
      <alignment horizontal="right" vertical="center"/>
      <protection/>
    </xf>
    <xf numFmtId="4" fontId="18" fillId="0" borderId="27" xfId="39" applyNumberFormat="1" applyFont="1" applyFill="1" applyBorder="1" applyAlignment="1">
      <alignment horizontal="right" vertical="center"/>
      <protection/>
    </xf>
    <xf numFmtId="49" fontId="18" fillId="2" borderId="48" xfId="39" applyNumberFormat="1" applyFont="1" applyFill="1" applyBorder="1" applyAlignment="1">
      <alignment horizontal="center" vertical="center"/>
      <protection/>
    </xf>
    <xf numFmtId="4" fontId="8" fillId="20" borderId="30" xfId="39" applyNumberFormat="1" applyFont="1" applyFill="1" applyBorder="1" applyAlignment="1">
      <alignment horizontal="right" vertical="center"/>
      <protection/>
    </xf>
    <xf numFmtId="4" fontId="51" fillId="20" borderId="42" xfId="39" applyNumberFormat="1" applyFont="1" applyFill="1" applyBorder="1" applyAlignment="1">
      <alignment horizontal="right" vertical="center"/>
      <protection/>
    </xf>
    <xf numFmtId="4" fontId="49" fillId="20" borderId="39" xfId="39" applyNumberFormat="1" applyFont="1" applyFill="1" applyBorder="1" applyAlignment="1">
      <alignment horizontal="right" vertical="center"/>
      <protection/>
    </xf>
    <xf numFmtId="0" fontId="49" fillId="9" borderId="49" xfId="39" applyFont="1" applyFill="1" applyBorder="1" applyAlignment="1">
      <alignment vertical="center"/>
      <protection/>
    </xf>
    <xf numFmtId="49" fontId="0" fillId="0" borderId="0" xfId="38" applyNumberFormat="1" applyFont="1" applyFill="1" applyAlignment="1">
      <alignment horizontal="center" vertical="center" wrapText="1"/>
      <protection/>
    </xf>
    <xf numFmtId="0" fontId="0" fillId="0" borderId="0" xfId="38" applyFont="1" applyAlignment="1">
      <alignment horizontal="center" vertical="center" wrapText="1"/>
      <protection/>
    </xf>
    <xf numFmtId="4" fontId="0" fillId="0" borderId="0" xfId="38" applyNumberFormat="1" applyFont="1" applyAlignment="1">
      <alignment horizontal="right" vertical="center" wrapText="1"/>
      <protection/>
    </xf>
    <xf numFmtId="0" fontId="0" fillId="0" borderId="0" xfId="38" applyFont="1" applyFill="1" applyAlignment="1">
      <alignment horizontal="center" vertical="center" wrapText="1"/>
      <protection/>
    </xf>
    <xf numFmtId="4" fontId="0" fillId="0" borderId="71" xfId="38" applyNumberFormat="1" applyFont="1" applyBorder="1" applyAlignment="1">
      <alignment horizontal="right" vertical="center" wrapText="1"/>
      <protection/>
    </xf>
    <xf numFmtId="0" fontId="0" fillId="0" borderId="0" xfId="38" applyFont="1" applyFill="1" applyBorder="1" applyAlignment="1">
      <alignment horizontal="center" vertical="center" wrapText="1"/>
      <protection/>
    </xf>
    <xf numFmtId="0" fontId="0" fillId="0" borderId="0" xfId="38" applyNumberFormat="1" applyFont="1" applyFill="1" applyBorder="1" applyAlignment="1">
      <alignment horizontal="center" vertical="center" wrapText="1"/>
      <protection/>
    </xf>
    <xf numFmtId="4" fontId="18" fillId="0" borderId="12" xfId="0" applyNumberFormat="1" applyFont="1" applyBorder="1" applyAlignment="1">
      <alignment vertical="center" wrapText="1"/>
    </xf>
    <xf numFmtId="4" fontId="51" fillId="19" borderId="10" xfId="39" applyNumberFormat="1" applyFont="1" applyFill="1" applyBorder="1" applyAlignment="1">
      <alignment horizontal="right" vertical="center"/>
      <protection/>
    </xf>
    <xf numFmtId="4" fontId="51" fillId="19" borderId="11" xfId="39" applyNumberFormat="1" applyFont="1" applyFill="1" applyBorder="1" applyAlignment="1">
      <alignment horizontal="right" vertical="center"/>
      <protection/>
    </xf>
    <xf numFmtId="4" fontId="51" fillId="19" borderId="14" xfId="39" applyNumberFormat="1" applyFont="1" applyFill="1" applyBorder="1" applyAlignment="1">
      <alignment horizontal="right" vertical="center"/>
      <protection/>
    </xf>
    <xf numFmtId="49" fontId="51" fillId="0" borderId="14" xfId="38" applyNumberFormat="1" applyFont="1" applyFill="1" applyBorder="1" applyAlignment="1">
      <alignment horizontal="center"/>
      <protection/>
    </xf>
    <xf numFmtId="4" fontId="49" fillId="20" borderId="10" xfId="39" applyNumberFormat="1" applyFont="1" applyFill="1" applyBorder="1" applyAlignment="1">
      <alignment horizontal="right" vertical="center"/>
      <protection/>
    </xf>
    <xf numFmtId="4" fontId="18" fillId="0" borderId="53" xfId="39" applyNumberFormat="1" applyFont="1" applyFill="1" applyBorder="1" applyAlignment="1">
      <alignment horizontal="right" vertical="center"/>
      <protection/>
    </xf>
    <xf numFmtId="49" fontId="49" fillId="0" borderId="58" xfId="0" applyNumberFormat="1" applyFont="1" applyFill="1" applyBorder="1" applyAlignment="1">
      <alignment horizontal="left" vertical="center"/>
    </xf>
    <xf numFmtId="0" fontId="13" fillId="0" borderId="0" xfId="38" applyNumberFormat="1" applyFont="1" applyFill="1" applyBorder="1" applyAlignment="1" applyProtection="1">
      <alignment vertical="top"/>
      <protection/>
    </xf>
    <xf numFmtId="4" fontId="18" fillId="0" borderId="10" xfId="80" applyNumberFormat="1" applyFont="1" applyBorder="1" applyAlignment="1">
      <alignment horizontal="right" vertical="center"/>
      <protection/>
    </xf>
    <xf numFmtId="4" fontId="18" fillId="0" borderId="20" xfId="80" applyNumberFormat="1" applyFont="1" applyBorder="1" applyAlignment="1">
      <alignment horizontal="right" vertical="center"/>
      <protection/>
    </xf>
    <xf numFmtId="0" fontId="18" fillId="0" borderId="67" xfId="0" applyFont="1" applyBorder="1" applyAlignment="1">
      <alignment horizontal="left" vertical="center"/>
    </xf>
    <xf numFmtId="0" fontId="18" fillId="0" borderId="44" xfId="0" applyFont="1" applyBorder="1" applyAlignment="1">
      <alignment horizontal="left" vertical="center"/>
    </xf>
    <xf numFmtId="0" fontId="13" fillId="0" borderId="0" xfId="38" applyNumberFormat="1" applyFont="1" applyFill="1" applyBorder="1" applyAlignment="1" applyProtection="1">
      <alignment horizontal="center" vertical="center"/>
      <protection/>
    </xf>
    <xf numFmtId="0" fontId="18" fillId="0" borderId="46" xfId="38" applyFont="1" applyFill="1" applyBorder="1" applyAlignment="1">
      <alignment horizontal="center" vertical="center"/>
      <protection/>
    </xf>
    <xf numFmtId="0" fontId="18" fillId="0" borderId="47" xfId="38" applyFont="1" applyFill="1" applyBorder="1">
      <alignment/>
      <protection/>
    </xf>
    <xf numFmtId="2" fontId="18" fillId="0" borderId="77" xfId="38" applyNumberFormat="1" applyFont="1" applyFill="1" applyBorder="1" applyAlignment="1" applyProtection="1">
      <alignment horizontal="center" vertical="center" textRotation="90" wrapText="1"/>
      <protection/>
    </xf>
    <xf numFmtId="0" fontId="18" fillId="0" borderId="76" xfId="38" applyFont="1" applyFill="1" applyBorder="1">
      <alignment/>
      <protection/>
    </xf>
    <xf numFmtId="0" fontId="18" fillId="0" borderId="71" xfId="38" applyFont="1" applyFill="1" applyBorder="1" applyAlignment="1">
      <alignment horizontal="center" vertical="center" textRotation="90" wrapText="1"/>
      <protection/>
    </xf>
    <xf numFmtId="0" fontId="18" fillId="0" borderId="44" xfId="38" applyFont="1" applyFill="1" applyBorder="1" applyAlignment="1">
      <alignment horizontal="center" vertical="center" wrapText="1"/>
      <protection/>
    </xf>
    <xf numFmtId="4" fontId="0" fillId="0" borderId="0" xfId="38" applyNumberFormat="1" applyFont="1" applyFill="1" applyAlignment="1">
      <alignment horizontal="right" vertical="center" wrapText="1"/>
      <protection/>
    </xf>
    <xf numFmtId="4" fontId="18" fillId="0" borderId="14" xfId="39" applyNumberFormat="1" applyFont="1" applyFill="1" applyBorder="1" applyAlignment="1">
      <alignment vertical="center" wrapText="1"/>
      <protection/>
    </xf>
    <xf numFmtId="4" fontId="18" fillId="0" borderId="20" xfId="39" applyNumberFormat="1" applyFont="1" applyFill="1" applyBorder="1" applyAlignment="1" applyProtection="1">
      <alignment horizontal="right" vertical="center"/>
      <protection/>
    </xf>
    <xf numFmtId="0" fontId="49" fillId="20" borderId="53" xfId="39" applyFont="1" applyFill="1" applyBorder="1" applyAlignment="1" applyProtection="1">
      <alignment vertical="center" wrapText="1"/>
      <protection/>
    </xf>
    <xf numFmtId="0" fontId="49" fillId="19" borderId="53" xfId="39" applyFont="1" applyFill="1" applyBorder="1" applyAlignment="1">
      <alignment horizontal="left" vertical="center" wrapText="1"/>
      <protection/>
    </xf>
    <xf numFmtId="0" fontId="18" fillId="0" borderId="53" xfId="39" applyFont="1" applyFill="1" applyBorder="1" applyAlignment="1">
      <alignment horizontal="left" vertical="center" wrapText="1"/>
      <protection/>
    </xf>
    <xf numFmtId="0" fontId="49" fillId="0" borderId="53" xfId="38" applyFont="1" applyFill="1" applyBorder="1" applyAlignment="1" applyProtection="1">
      <alignment horizontal="center" vertical="center" wrapText="1"/>
      <protection/>
    </xf>
    <xf numFmtId="0" fontId="49" fillId="18" borderId="53" xfId="39" applyFont="1" applyFill="1" applyBorder="1" applyAlignment="1">
      <alignment horizontal="left" vertical="center" wrapText="1"/>
      <protection/>
    </xf>
    <xf numFmtId="0" fontId="18" fillId="0" borderId="53" xfId="38" applyFont="1" applyFill="1" applyBorder="1" applyAlignment="1" applyProtection="1">
      <alignment horizontal="left" vertical="center" wrapText="1"/>
      <protection/>
    </xf>
    <xf numFmtId="0" fontId="18" fillId="0" borderId="53" xfId="0" applyFont="1" applyBorder="1" applyAlignment="1">
      <alignment horizontal="left" vertical="center" wrapText="1"/>
    </xf>
    <xf numFmtId="0" fontId="18" fillId="0" borderId="53" xfId="0" applyFont="1" applyFill="1" applyBorder="1" applyAlignment="1">
      <alignment horizontal="left" vertical="center" wrapText="1"/>
    </xf>
    <xf numFmtId="0" fontId="49" fillId="2" borderId="53" xfId="38" applyFont="1" applyFill="1" applyBorder="1" applyAlignment="1">
      <alignment horizontal="center" vertical="center" wrapText="1"/>
      <protection/>
    </xf>
    <xf numFmtId="0" fontId="18" fillId="0" borderId="53" xfId="0" applyFont="1" applyBorder="1" applyAlignment="1">
      <alignment horizontal="justify" vertical="center" wrapText="1"/>
    </xf>
    <xf numFmtId="0" fontId="18" fillId="0" borderId="53" xfId="0" applyFont="1" applyFill="1" applyBorder="1" applyAlignment="1">
      <alignment horizontal="justify" vertical="center" wrapText="1"/>
    </xf>
    <xf numFmtId="0" fontId="49" fillId="0" borderId="53" xfId="39" applyFont="1" applyFill="1" applyBorder="1" applyAlignment="1">
      <alignment horizontal="center" vertical="center" wrapText="1"/>
      <protection/>
    </xf>
    <xf numFmtId="0" fontId="18" fillId="0" borderId="70" xfId="0" applyFont="1" applyBorder="1" applyAlignment="1">
      <alignment horizontal="left" vertical="center" wrapText="1"/>
    </xf>
    <xf numFmtId="0" fontId="18" fillId="0" borderId="70" xfId="0" applyFont="1" applyFill="1" applyBorder="1" applyAlignment="1">
      <alignment horizontal="left" vertical="center" wrapText="1"/>
    </xf>
    <xf numFmtId="0" fontId="49" fillId="19" borderId="53" xfId="35" applyFont="1" applyFill="1" applyBorder="1" applyAlignment="1">
      <alignment horizontal="left" vertical="center" wrapText="1"/>
      <protection/>
    </xf>
    <xf numFmtId="0" fontId="49" fillId="20" borderId="53" xfId="39" applyFont="1" applyFill="1" applyBorder="1" applyAlignment="1">
      <alignment horizontal="left" vertical="center" wrapText="1"/>
      <protection/>
    </xf>
    <xf numFmtId="0" fontId="49" fillId="20" borderId="81" xfId="39" applyFont="1" applyFill="1" applyBorder="1" applyAlignment="1">
      <alignment horizontal="left" vertical="center" wrapText="1"/>
      <protection/>
    </xf>
    <xf numFmtId="0" fontId="49" fillId="9" borderId="82" xfId="39" applyFont="1" applyFill="1" applyBorder="1" applyAlignment="1">
      <alignment vertical="center"/>
      <protection/>
    </xf>
    <xf numFmtId="0" fontId="18" fillId="0" borderId="69" xfId="39" applyFont="1" applyFill="1" applyBorder="1" applyAlignment="1">
      <alignment horizontal="left" vertical="center" wrapText="1"/>
      <protection/>
    </xf>
    <xf numFmtId="0" fontId="49" fillId="19" borderId="70" xfId="39" applyFont="1" applyFill="1" applyBorder="1" applyAlignment="1">
      <alignment horizontal="left" vertical="center" wrapText="1"/>
      <protection/>
    </xf>
    <xf numFmtId="0" fontId="18" fillId="0" borderId="53" xfId="35" applyFont="1" applyFill="1" applyBorder="1" applyAlignment="1">
      <alignment horizontal="left" vertical="center" wrapText="1"/>
      <protection/>
    </xf>
    <xf numFmtId="0" fontId="18" fillId="0" borderId="81" xfId="35" applyFont="1" applyFill="1" applyBorder="1" applyAlignment="1">
      <alignment horizontal="left" vertical="center" wrapText="1"/>
      <protection/>
    </xf>
    <xf numFmtId="0" fontId="18" fillId="0" borderId="70" xfId="35" applyFont="1" applyFill="1" applyBorder="1" applyAlignment="1">
      <alignment horizontal="left" vertical="center" wrapText="1"/>
      <protection/>
    </xf>
    <xf numFmtId="0" fontId="49" fillId="20" borderId="70" xfId="39" applyFont="1" applyFill="1" applyBorder="1" applyAlignment="1">
      <alignment horizontal="left" vertical="center" wrapText="1"/>
      <protection/>
    </xf>
    <xf numFmtId="0" fontId="18" fillId="0" borderId="53" xfId="0" applyFont="1" applyBorder="1" applyAlignment="1">
      <alignment horizontal="left" vertical="center"/>
    </xf>
    <xf numFmtId="0" fontId="49" fillId="20" borderId="69" xfId="39" applyFont="1" applyFill="1" applyBorder="1" applyAlignment="1">
      <alignment horizontal="left" vertical="center" wrapText="1"/>
      <protection/>
    </xf>
    <xf numFmtId="0" fontId="18" fillId="0" borderId="53" xfId="80" applyFont="1" applyFill="1" applyBorder="1" applyAlignment="1">
      <alignment horizontal="left" vertical="center" wrapText="1"/>
      <protection/>
    </xf>
    <xf numFmtId="0" fontId="49" fillId="18" borderId="70" xfId="39" applyFont="1" applyFill="1" applyBorder="1" applyAlignment="1">
      <alignment horizontal="left" vertical="center" wrapText="1"/>
      <protection/>
    </xf>
    <xf numFmtId="0" fontId="18" fillId="2" borderId="53" xfId="80" applyFont="1" applyFill="1" applyBorder="1" applyAlignment="1">
      <alignment horizontal="left" vertical="center" wrapText="1"/>
      <protection/>
    </xf>
    <xf numFmtId="0" fontId="18" fillId="2" borderId="70" xfId="80" applyFont="1" applyFill="1" applyBorder="1" applyAlignment="1">
      <alignment horizontal="left" vertical="center" wrapText="1"/>
      <protection/>
    </xf>
    <xf numFmtId="0" fontId="49" fillId="9" borderId="83" xfId="39" applyFont="1" applyFill="1" applyBorder="1" applyAlignment="1">
      <alignment vertical="center"/>
      <protection/>
    </xf>
    <xf numFmtId="0" fontId="51" fillId="9" borderId="84" xfId="39" applyFont="1" applyFill="1" applyBorder="1" applyAlignment="1">
      <alignment vertical="center"/>
      <protection/>
    </xf>
    <xf numFmtId="0" fontId="49" fillId="20" borderId="53" xfId="35" applyFont="1" applyFill="1" applyBorder="1" applyAlignment="1">
      <alignment horizontal="left" vertical="center" wrapText="1"/>
      <protection/>
    </xf>
    <xf numFmtId="0" fontId="49" fillId="19" borderId="70" xfId="35" applyFont="1" applyFill="1" applyBorder="1" applyAlignment="1">
      <alignment horizontal="left" vertical="center" wrapText="1"/>
      <protection/>
    </xf>
    <xf numFmtId="0" fontId="18" fillId="2" borderId="53" xfId="35" applyFont="1" applyFill="1" applyBorder="1" applyAlignment="1">
      <alignment horizontal="left" vertical="center" wrapText="1"/>
      <protection/>
    </xf>
    <xf numFmtId="0" fontId="49" fillId="19" borderId="81" xfId="39" applyFont="1" applyFill="1" applyBorder="1" applyAlignment="1">
      <alignment horizontal="left" vertical="center" wrapText="1"/>
      <protection/>
    </xf>
    <xf numFmtId="0" fontId="18" fillId="0" borderId="53" xfId="35" applyFont="1" applyBorder="1" applyAlignment="1">
      <alignment horizontal="left" vertical="center" wrapText="1"/>
      <protection/>
    </xf>
    <xf numFmtId="0" fontId="18" fillId="2" borderId="70" xfId="35" applyFont="1" applyFill="1" applyBorder="1" applyAlignment="1">
      <alignment horizontal="left" vertical="center" wrapText="1"/>
      <protection/>
    </xf>
    <xf numFmtId="0" fontId="49" fillId="20" borderId="70" xfId="35" applyFont="1" applyFill="1" applyBorder="1" applyAlignment="1">
      <alignment horizontal="left" vertical="center" wrapText="1"/>
      <protection/>
    </xf>
    <xf numFmtId="0" fontId="18" fillId="0" borderId="68" xfId="35" applyFont="1" applyFill="1" applyBorder="1" applyAlignment="1">
      <alignment horizontal="left" vertical="center" wrapText="1"/>
      <protection/>
    </xf>
    <xf numFmtId="0" fontId="49" fillId="20" borderId="68" xfId="39" applyFont="1" applyFill="1" applyBorder="1" applyAlignment="1">
      <alignment horizontal="left" vertical="center" wrapText="1"/>
      <protection/>
    </xf>
    <xf numFmtId="0" fontId="51" fillId="9" borderId="68" xfId="39" applyFont="1" applyFill="1" applyBorder="1" applyAlignment="1">
      <alignment vertical="center"/>
      <protection/>
    </xf>
    <xf numFmtId="0" fontId="49" fillId="20" borderId="84" xfId="39" applyFont="1" applyFill="1" applyBorder="1" applyAlignment="1">
      <alignment horizontal="left" vertical="center" wrapText="1"/>
      <protection/>
    </xf>
    <xf numFmtId="0" fontId="18" fillId="0" borderId="70" xfId="39" applyFont="1" applyFill="1" applyBorder="1" applyAlignment="1">
      <alignment horizontal="left" vertical="center" wrapText="1"/>
      <protection/>
    </xf>
    <xf numFmtId="0" fontId="18" fillId="0" borderId="53" xfId="0" applyFont="1" applyBorder="1" applyAlignment="1">
      <alignment vertical="center" wrapText="1"/>
    </xf>
    <xf numFmtId="0" fontId="18" fillId="0" borderId="53" xfId="51" applyFont="1" applyBorder="1" applyAlignment="1" applyProtection="1">
      <alignment vertical="center" wrapText="1"/>
      <protection/>
    </xf>
    <xf numFmtId="0" fontId="18" fillId="2" borderId="53" xfId="39" applyFont="1" applyFill="1" applyBorder="1" applyAlignment="1">
      <alignment horizontal="left" vertical="center" wrapText="1"/>
      <protection/>
    </xf>
    <xf numFmtId="0" fontId="49" fillId="9" borderId="85" xfId="39" applyFont="1" applyFill="1" applyBorder="1" applyAlignment="1">
      <alignment vertical="center"/>
      <protection/>
    </xf>
    <xf numFmtId="4" fontId="49" fillId="18" borderId="17" xfId="39" applyNumberFormat="1" applyFont="1" applyFill="1" applyBorder="1" applyAlignment="1">
      <alignment horizontal="right" vertical="center"/>
      <protection/>
    </xf>
    <xf numFmtId="4" fontId="49" fillId="19" borderId="17" xfId="39" applyNumberFormat="1" applyFont="1" applyFill="1" applyBorder="1" applyAlignment="1">
      <alignment horizontal="right" vertical="center" wrapText="1"/>
      <protection/>
    </xf>
    <xf numFmtId="4" fontId="49" fillId="20" borderId="17" xfId="39" applyNumberFormat="1" applyFont="1" applyFill="1" applyBorder="1" applyAlignment="1">
      <alignment horizontal="right" vertical="center"/>
      <protection/>
    </xf>
    <xf numFmtId="4" fontId="49" fillId="20" borderId="62" xfId="39" applyNumberFormat="1" applyFont="1" applyFill="1" applyBorder="1" applyAlignment="1">
      <alignment horizontal="right" vertical="center"/>
      <protection/>
    </xf>
    <xf numFmtId="4" fontId="49" fillId="9" borderId="60" xfId="39" applyNumberFormat="1" applyFont="1" applyFill="1" applyBorder="1" applyAlignment="1">
      <alignment horizontal="right" vertical="center"/>
      <protection/>
    </xf>
    <xf numFmtId="4" fontId="18" fillId="2" borderId="51" xfId="38" applyNumberFormat="1" applyFont="1" applyFill="1" applyBorder="1" applyAlignment="1">
      <alignment horizontal="right" vertical="center"/>
      <protection/>
    </xf>
    <xf numFmtId="4" fontId="18" fillId="2" borderId="23" xfId="38" applyNumberFormat="1" applyFont="1" applyFill="1" applyBorder="1" applyAlignment="1">
      <alignment horizontal="right" vertical="center"/>
      <protection/>
    </xf>
    <xf numFmtId="4" fontId="49" fillId="19" borderId="86" xfId="39" applyNumberFormat="1" applyFont="1" applyFill="1" applyBorder="1" applyAlignment="1">
      <alignment horizontal="right" vertical="center"/>
      <protection/>
    </xf>
    <xf numFmtId="0" fontId="51" fillId="9" borderId="43" xfId="38" applyFont="1" applyFill="1" applyBorder="1" applyAlignment="1">
      <alignment/>
      <protection/>
    </xf>
    <xf numFmtId="0" fontId="51" fillId="20" borderId="66" xfId="39" applyFont="1" applyFill="1" applyBorder="1" applyAlignment="1">
      <alignment horizontal="center" vertical="center"/>
      <protection/>
    </xf>
    <xf numFmtId="0" fontId="51" fillId="9" borderId="28" xfId="39" applyFont="1" applyFill="1" applyBorder="1" applyAlignment="1">
      <alignment/>
      <protection/>
    </xf>
    <xf numFmtId="0" fontId="18" fillId="0" borderId="43" xfId="39" applyFont="1" applyFill="1" applyBorder="1" applyAlignment="1">
      <alignment horizontal="center" vertical="center"/>
      <protection/>
    </xf>
    <xf numFmtId="0" fontId="18" fillId="0" borderId="53" xfId="39" applyFont="1" applyFill="1" applyBorder="1" applyAlignment="1">
      <alignment horizontal="left" vertical="center"/>
      <protection/>
    </xf>
    <xf numFmtId="4" fontId="18" fillId="0" borderId="12" xfId="38" applyNumberFormat="1" applyFont="1" applyFill="1" applyBorder="1" applyAlignment="1">
      <alignment vertical="center"/>
      <protection/>
    </xf>
    <xf numFmtId="4" fontId="18" fillId="0" borderId="24" xfId="38" applyNumberFormat="1" applyFont="1" applyFill="1" applyBorder="1" applyAlignment="1">
      <alignment vertical="center"/>
      <protection/>
    </xf>
    <xf numFmtId="4" fontId="51" fillId="9" borderId="53" xfId="38" applyNumberFormat="1" applyFont="1" applyFill="1" applyBorder="1" applyAlignment="1">
      <alignment/>
      <protection/>
    </xf>
    <xf numFmtId="4" fontId="49" fillId="19" borderId="53" xfId="39" applyNumberFormat="1" applyFont="1" applyFill="1" applyBorder="1" applyAlignment="1">
      <alignment horizontal="right" vertical="center" wrapText="1"/>
      <protection/>
    </xf>
    <xf numFmtId="4" fontId="18" fillId="0" borderId="53" xfId="38" applyNumberFormat="1" applyFont="1" applyFill="1" applyBorder="1" applyAlignment="1">
      <alignment horizontal="right" vertical="center"/>
      <protection/>
    </xf>
    <xf numFmtId="4" fontId="49" fillId="18" borderId="53" xfId="39" applyNumberFormat="1" applyFont="1" applyFill="1" applyBorder="1" applyAlignment="1">
      <alignment horizontal="right" vertical="center"/>
      <protection/>
    </xf>
    <xf numFmtId="4" fontId="49" fillId="0" borderId="53" xfId="38" applyNumberFormat="1" applyFont="1" applyFill="1" applyBorder="1" applyAlignment="1">
      <alignment horizontal="right" vertical="center"/>
      <protection/>
    </xf>
    <xf numFmtId="4" fontId="49" fillId="0" borderId="53" xfId="39" applyNumberFormat="1" applyFont="1" applyFill="1" applyBorder="1" applyAlignment="1">
      <alignment horizontal="right" vertical="center"/>
      <protection/>
    </xf>
    <xf numFmtId="4" fontId="49" fillId="2" borderId="53" xfId="38" applyNumberFormat="1" applyFont="1" applyFill="1" applyBorder="1" applyAlignment="1">
      <alignment horizontal="right" vertical="center"/>
      <protection/>
    </xf>
    <xf numFmtId="4" fontId="18" fillId="2" borderId="53" xfId="38" applyNumberFormat="1" applyFont="1" applyFill="1" applyBorder="1" applyAlignment="1">
      <alignment horizontal="right" vertical="center"/>
      <protection/>
    </xf>
    <xf numFmtId="4" fontId="49" fillId="19" borderId="53" xfId="39" applyNumberFormat="1" applyFont="1" applyFill="1" applyBorder="1" applyAlignment="1">
      <alignment horizontal="right" vertical="center"/>
      <protection/>
    </xf>
    <xf numFmtId="4" fontId="49" fillId="20" borderId="53" xfId="39" applyNumberFormat="1" applyFont="1" applyFill="1" applyBorder="1" applyAlignment="1">
      <alignment horizontal="right" vertical="center"/>
      <protection/>
    </xf>
    <xf numFmtId="4" fontId="18" fillId="0" borderId="84" xfId="38" applyNumberFormat="1" applyFont="1" applyFill="1" applyBorder="1" applyAlignment="1">
      <alignment horizontal="right" vertical="center"/>
      <protection/>
    </xf>
    <xf numFmtId="4" fontId="18" fillId="0" borderId="81" xfId="39" applyNumberFormat="1" applyFont="1" applyFill="1" applyBorder="1" applyAlignment="1">
      <alignment horizontal="right" vertical="center"/>
      <protection/>
    </xf>
    <xf numFmtId="4" fontId="49" fillId="20" borderId="83" xfId="39" applyNumberFormat="1" applyFont="1" applyFill="1" applyBorder="1" applyAlignment="1">
      <alignment horizontal="right" vertical="center"/>
      <protection/>
    </xf>
    <xf numFmtId="4" fontId="49" fillId="9" borderId="82" xfId="39" applyNumberFormat="1" applyFont="1" applyFill="1" applyBorder="1" applyAlignment="1">
      <alignment horizontal="right" vertical="center"/>
      <protection/>
    </xf>
    <xf numFmtId="4" fontId="18" fillId="9" borderId="70" xfId="38" applyNumberFormat="1" applyFont="1" applyFill="1" applyBorder="1" applyAlignment="1">
      <alignment vertical="center"/>
      <protection/>
    </xf>
    <xf numFmtId="4" fontId="18" fillId="0" borderId="69" xfId="38" applyNumberFormat="1" applyFont="1" applyFill="1" applyBorder="1" applyAlignment="1">
      <alignment horizontal="right" vertical="center"/>
      <protection/>
    </xf>
    <xf numFmtId="4" fontId="18" fillId="0" borderId="70" xfId="38" applyNumberFormat="1" applyFont="1" applyFill="1" applyBorder="1" applyAlignment="1">
      <alignment horizontal="right" vertical="center"/>
      <protection/>
    </xf>
    <xf numFmtId="4" fontId="18" fillId="0" borderId="82" xfId="38" applyNumberFormat="1" applyFont="1" applyFill="1" applyBorder="1" applyAlignment="1">
      <alignment horizontal="right" vertical="center"/>
      <protection/>
    </xf>
    <xf numFmtId="4" fontId="49" fillId="20" borderId="70" xfId="39" applyNumberFormat="1" applyFont="1" applyFill="1" applyBorder="1" applyAlignment="1">
      <alignment horizontal="right" vertical="center" wrapText="1"/>
      <protection/>
    </xf>
    <xf numFmtId="4" fontId="18" fillId="0" borderId="70" xfId="38" applyNumberFormat="1" applyFont="1" applyFill="1" applyBorder="1" applyAlignment="1">
      <alignment/>
      <protection/>
    </xf>
    <xf numFmtId="4" fontId="49" fillId="20" borderId="69" xfId="38" applyNumberFormat="1" applyFont="1" applyFill="1" applyBorder="1" applyAlignment="1">
      <alignment horizontal="right" vertical="center"/>
      <protection/>
    </xf>
    <xf numFmtId="4" fontId="49" fillId="9" borderId="83" xfId="38" applyNumberFormat="1" applyFont="1" applyFill="1" applyBorder="1" applyAlignment="1">
      <alignment horizontal="right" vertical="center"/>
      <protection/>
    </xf>
    <xf numFmtId="4" fontId="18" fillId="9" borderId="70" xfId="38" applyNumberFormat="1" applyFont="1" applyFill="1" applyBorder="1" applyAlignment="1">
      <alignment horizontal="right" vertical="center"/>
      <protection/>
    </xf>
    <xf numFmtId="4" fontId="49" fillId="19" borderId="70" xfId="39" applyNumberFormat="1" applyFont="1" applyFill="1" applyBorder="1" applyAlignment="1">
      <alignment horizontal="right" vertical="center"/>
      <protection/>
    </xf>
    <xf numFmtId="4" fontId="49" fillId="18" borderId="70" xfId="39" applyNumberFormat="1" applyFont="1" applyFill="1" applyBorder="1" applyAlignment="1">
      <alignment horizontal="right" vertical="center"/>
      <protection/>
    </xf>
    <xf numFmtId="4" fontId="18" fillId="0" borderId="70" xfId="39" applyNumberFormat="1" applyFont="1" applyFill="1" applyBorder="1" applyAlignment="1">
      <alignment horizontal="right" vertical="center"/>
      <protection/>
    </xf>
    <xf numFmtId="4" fontId="49" fillId="0" borderId="70" xfId="38" applyNumberFormat="1" applyFont="1" applyFill="1" applyBorder="1" applyAlignment="1">
      <alignment horizontal="right" vertical="center"/>
      <protection/>
    </xf>
    <xf numFmtId="4" fontId="49" fillId="20" borderId="69" xfId="39" applyNumberFormat="1" applyFont="1" applyFill="1" applyBorder="1" applyAlignment="1">
      <alignment horizontal="right" vertical="center"/>
      <protection/>
    </xf>
    <xf numFmtId="4" fontId="49" fillId="9" borderId="83" xfId="39" applyNumberFormat="1" applyFont="1" applyFill="1" applyBorder="1" applyAlignment="1">
      <alignment horizontal="right" vertical="center"/>
      <protection/>
    </xf>
    <xf numFmtId="4" fontId="51" fillId="9" borderId="84" xfId="39" applyNumberFormat="1" applyFont="1" applyFill="1" applyBorder="1" applyAlignment="1">
      <alignment vertical="center"/>
      <protection/>
    </xf>
    <xf numFmtId="4" fontId="49" fillId="19" borderId="81" xfId="39" applyNumberFormat="1" applyFont="1" applyFill="1" applyBorder="1" applyAlignment="1">
      <alignment horizontal="right" vertical="center"/>
      <protection/>
    </xf>
    <xf numFmtId="4" fontId="49" fillId="0" borderId="70" xfId="39" applyNumberFormat="1" applyFont="1" applyFill="1" applyBorder="1" applyAlignment="1">
      <alignment horizontal="right" vertical="center"/>
      <protection/>
    </xf>
    <xf numFmtId="4" fontId="18" fillId="22" borderId="53" xfId="39" applyNumberFormat="1" applyFont="1" applyFill="1" applyBorder="1" applyAlignment="1">
      <alignment horizontal="right" vertical="center"/>
      <protection/>
    </xf>
    <xf numFmtId="4" fontId="49" fillId="20" borderId="82" xfId="39" applyNumberFormat="1" applyFont="1" applyFill="1" applyBorder="1" applyAlignment="1">
      <alignment horizontal="right" vertical="center"/>
      <protection/>
    </xf>
    <xf numFmtId="4" fontId="51" fillId="9" borderId="68" xfId="39" applyNumberFormat="1" applyFont="1" applyFill="1" applyBorder="1" applyAlignment="1">
      <alignment vertical="center"/>
      <protection/>
    </xf>
    <xf numFmtId="4" fontId="18" fillId="0" borderId="81" xfId="38" applyNumberFormat="1" applyFont="1" applyFill="1" applyBorder="1" applyAlignment="1">
      <alignment horizontal="right" vertical="center"/>
      <protection/>
    </xf>
    <xf numFmtId="4" fontId="49" fillId="20" borderId="68" xfId="39" applyNumberFormat="1" applyFont="1" applyFill="1" applyBorder="1" applyAlignment="1">
      <alignment horizontal="right" vertical="center"/>
      <protection/>
    </xf>
    <xf numFmtId="4" fontId="18" fillId="0" borderId="53" xfId="38" applyNumberFormat="1" applyFont="1" applyFill="1" applyBorder="1" applyAlignment="1">
      <alignment vertical="center"/>
      <protection/>
    </xf>
    <xf numFmtId="4" fontId="51" fillId="9" borderId="70" xfId="39" applyNumberFormat="1" applyFont="1" applyFill="1" applyBorder="1" applyAlignment="1">
      <alignment/>
      <protection/>
    </xf>
    <xf numFmtId="4" fontId="49" fillId="9" borderId="85" xfId="39" applyNumberFormat="1" applyFont="1" applyFill="1" applyBorder="1" applyAlignment="1">
      <alignment horizontal="right" vertical="center"/>
      <protection/>
    </xf>
    <xf numFmtId="4" fontId="49" fillId="18" borderId="83" xfId="39" applyNumberFormat="1" applyFont="1" applyFill="1" applyBorder="1" applyAlignment="1">
      <alignment horizontal="right" vertical="center"/>
      <protection/>
    </xf>
    <xf numFmtId="4" fontId="18" fillId="9" borderId="41" xfId="39" applyNumberFormat="1" applyFont="1" applyFill="1" applyBorder="1" applyAlignment="1">
      <alignment horizontal="right" vertical="center"/>
      <protection/>
    </xf>
    <xf numFmtId="4" fontId="18" fillId="9" borderId="23" xfId="39" applyNumberFormat="1" applyFont="1" applyFill="1" applyBorder="1" applyAlignment="1">
      <alignment horizontal="right" vertical="center"/>
      <protection/>
    </xf>
    <xf numFmtId="4" fontId="49" fillId="18" borderId="15" xfId="39" applyNumberFormat="1" applyFont="1" applyFill="1" applyBorder="1" applyAlignment="1">
      <alignment horizontal="right" vertical="center"/>
      <protection/>
    </xf>
    <xf numFmtId="4" fontId="18" fillId="2" borderId="14" xfId="38" applyNumberFormat="1" applyFont="1" applyFill="1" applyBorder="1" applyAlignment="1">
      <alignment vertical="center"/>
      <protection/>
    </xf>
    <xf numFmtId="4" fontId="49" fillId="19" borderId="15" xfId="39" applyNumberFormat="1" applyFont="1" applyFill="1" applyBorder="1" applyAlignment="1">
      <alignment horizontal="right" vertical="center" wrapText="1"/>
      <protection/>
    </xf>
    <xf numFmtId="4" fontId="49" fillId="20" borderId="15" xfId="39" applyNumberFormat="1" applyFont="1" applyFill="1" applyBorder="1" applyAlignment="1">
      <alignment horizontal="right" vertical="center"/>
      <protection/>
    </xf>
    <xf numFmtId="4" fontId="49" fillId="20" borderId="40" xfId="39" applyNumberFormat="1" applyFont="1" applyFill="1" applyBorder="1" applyAlignment="1">
      <alignment horizontal="right" vertical="center"/>
      <protection/>
    </xf>
    <xf numFmtId="4" fontId="49" fillId="9" borderId="50" xfId="39" applyNumberFormat="1" applyFont="1" applyFill="1" applyBorder="1" applyAlignment="1">
      <alignment horizontal="right" vertical="center"/>
      <protection/>
    </xf>
    <xf numFmtId="4" fontId="49" fillId="19" borderId="18" xfId="39" applyNumberFormat="1" applyFont="1" applyFill="1" applyBorder="1" applyAlignment="1">
      <alignment horizontal="right" vertical="center"/>
      <protection/>
    </xf>
    <xf numFmtId="4" fontId="18" fillId="20" borderId="49" xfId="39" applyNumberFormat="1" applyFont="1" applyFill="1" applyBorder="1" applyAlignment="1">
      <alignment horizontal="right" vertical="center"/>
      <protection/>
    </xf>
    <xf numFmtId="4" fontId="51" fillId="9" borderId="22" xfId="39" applyNumberFormat="1" applyFont="1" applyFill="1" applyBorder="1" applyAlignment="1">
      <alignment/>
      <protection/>
    </xf>
    <xf numFmtId="0" fontId="18" fillId="0" borderId="68" xfId="39" applyFont="1" applyFill="1" applyBorder="1" applyAlignment="1">
      <alignment horizontal="left" vertical="center" wrapText="1"/>
      <protection/>
    </xf>
    <xf numFmtId="4" fontId="18" fillId="0" borderId="19" xfId="39" applyNumberFormat="1" applyFont="1" applyFill="1" applyBorder="1" applyAlignment="1">
      <alignment horizontal="right" vertical="center"/>
      <protection/>
    </xf>
    <xf numFmtId="4" fontId="18" fillId="0" borderId="76" xfId="39" applyNumberFormat="1" applyFont="1" applyFill="1" applyBorder="1" applyAlignment="1">
      <alignment horizontal="right" vertical="center" wrapText="1"/>
      <protection/>
    </xf>
    <xf numFmtId="49" fontId="18" fillId="0" borderId="20" xfId="39" applyNumberFormat="1" applyFont="1" applyFill="1" applyBorder="1" applyAlignment="1">
      <alignment horizontal="left" vertical="center" wrapText="1"/>
      <protection/>
    </xf>
    <xf numFmtId="4" fontId="51" fillId="9" borderId="68" xfId="38" applyNumberFormat="1" applyFont="1" applyFill="1" applyBorder="1" applyAlignment="1">
      <alignment/>
      <protection/>
    </xf>
    <xf numFmtId="4" fontId="18" fillId="9" borderId="70" xfId="39" applyNumberFormat="1" applyFont="1" applyFill="1" applyBorder="1" applyAlignment="1">
      <alignment horizontal="right" vertical="center"/>
      <protection/>
    </xf>
    <xf numFmtId="4" fontId="49" fillId="21" borderId="70" xfId="39" applyNumberFormat="1" applyFont="1" applyFill="1" applyBorder="1" applyAlignment="1" applyProtection="1">
      <alignment horizontal="right" vertical="center"/>
      <protection locked="0"/>
    </xf>
    <xf numFmtId="4" fontId="18" fillId="2" borderId="53" xfId="35" applyNumberFormat="1" applyFont="1" applyFill="1" applyBorder="1" applyAlignment="1">
      <alignment horizontal="right" vertical="center"/>
      <protection/>
    </xf>
    <xf numFmtId="4" fontId="18" fillId="22" borderId="53" xfId="35" applyNumberFormat="1" applyFont="1" applyFill="1" applyBorder="1" applyAlignment="1">
      <alignment horizontal="right" vertical="center"/>
      <protection/>
    </xf>
    <xf numFmtId="4" fontId="18" fillId="0" borderId="53" xfId="35" applyNumberFormat="1" applyFont="1" applyFill="1" applyBorder="1" applyAlignment="1">
      <alignment horizontal="right" vertical="center"/>
      <protection/>
    </xf>
    <xf numFmtId="4" fontId="49" fillId="9" borderId="38" xfId="39" applyNumberFormat="1" applyFont="1" applyFill="1" applyBorder="1" applyAlignment="1">
      <alignment horizontal="right" vertical="center"/>
      <protection/>
    </xf>
    <xf numFmtId="4" fontId="51" fillId="9" borderId="27" xfId="38" applyNumberFormat="1" applyFont="1" applyFill="1" applyBorder="1" applyAlignment="1">
      <alignment/>
      <protection/>
    </xf>
    <xf numFmtId="4" fontId="18" fillId="0" borderId="27" xfId="39" applyNumberFormat="1" applyFont="1" applyFill="1" applyBorder="1" applyAlignment="1">
      <alignment horizontal="right" vertical="center" wrapText="1"/>
      <protection/>
    </xf>
    <xf numFmtId="4" fontId="18" fillId="0" borderId="48" xfId="38" applyNumberFormat="1" applyFont="1" applyFill="1" applyBorder="1" applyAlignment="1">
      <alignment horizontal="right" vertical="center" wrapText="1"/>
      <protection/>
    </xf>
    <xf numFmtId="0" fontId="18" fillId="0" borderId="65" xfId="39" applyFont="1" applyFill="1" applyBorder="1" applyAlignment="1">
      <alignment horizontal="center" vertical="center"/>
      <protection/>
    </xf>
    <xf numFmtId="4" fontId="18" fillId="0" borderId="25" xfId="38" applyNumberFormat="1" applyFont="1" applyFill="1" applyBorder="1" applyAlignment="1">
      <alignment vertical="center"/>
      <protection/>
    </xf>
    <xf numFmtId="4" fontId="18" fillId="0" borderId="69" xfId="38" applyNumberFormat="1" applyFont="1" applyFill="1" applyBorder="1" applyAlignment="1">
      <alignment vertical="center"/>
      <protection/>
    </xf>
    <xf numFmtId="4" fontId="18" fillId="0" borderId="27" xfId="38" applyNumberFormat="1" applyFont="1" applyFill="1" applyBorder="1" applyAlignment="1">
      <alignment vertical="center"/>
      <protection/>
    </xf>
    <xf numFmtId="4" fontId="18" fillId="0" borderId="26" xfId="38" applyNumberFormat="1" applyFont="1" applyFill="1" applyBorder="1" applyAlignment="1">
      <alignment vertical="center"/>
      <protection/>
    </xf>
    <xf numFmtId="0" fontId="18" fillId="0" borderId="67" xfId="38" applyFont="1" applyFill="1" applyBorder="1" applyAlignment="1">
      <alignment horizontal="center" vertical="center" wrapText="1"/>
      <protection/>
    </xf>
    <xf numFmtId="4" fontId="49" fillId="9" borderId="40" xfId="39" applyNumberFormat="1" applyFont="1" applyFill="1" applyBorder="1" applyAlignment="1">
      <alignment horizontal="right" vertical="center"/>
      <protection/>
    </xf>
    <xf numFmtId="0" fontId="18" fillId="0" borderId="41" xfId="38" applyFont="1" applyFill="1" applyBorder="1" applyAlignment="1">
      <alignment horizontal="center" vertical="center" textRotation="90" wrapText="1"/>
      <protection/>
    </xf>
    <xf numFmtId="0" fontId="18" fillId="0" borderId="42" xfId="38" applyFont="1" applyFill="1" applyBorder="1" applyAlignment="1">
      <alignment vertical="center"/>
      <protection/>
    </xf>
    <xf numFmtId="0" fontId="18" fillId="0" borderId="39" xfId="38" applyNumberFormat="1" applyFont="1" applyFill="1" applyBorder="1" applyAlignment="1" applyProtection="1">
      <alignment vertical="top"/>
      <protection/>
    </xf>
    <xf numFmtId="0" fontId="18" fillId="9" borderId="43" xfId="38" applyNumberFormat="1" applyFont="1" applyFill="1" applyBorder="1" applyAlignment="1">
      <alignment horizontal="center" vertical="center" wrapText="1"/>
      <protection/>
    </xf>
    <xf numFmtId="0" fontId="18" fillId="0" borderId="43" xfId="39" applyFont="1" applyFill="1" applyBorder="1" applyAlignment="1" applyProtection="1">
      <alignment horizontal="center" vertical="center" wrapText="1"/>
      <protection/>
    </xf>
    <xf numFmtId="0" fontId="18" fillId="2" borderId="43" xfId="39" applyFont="1" applyFill="1" applyBorder="1" applyAlignment="1">
      <alignment horizontal="center" vertical="center"/>
      <protection/>
    </xf>
    <xf numFmtId="0" fontId="49" fillId="19" borderId="43" xfId="39" applyFont="1" applyFill="1" applyBorder="1" applyAlignment="1">
      <alignment horizontal="left" vertical="center" wrapText="1"/>
      <protection/>
    </xf>
    <xf numFmtId="0" fontId="18" fillId="0" borderId="43" xfId="38" applyFont="1" applyFill="1" applyBorder="1" applyAlignment="1" applyProtection="1">
      <alignment horizontal="center" vertical="center" wrapText="1"/>
      <protection/>
    </xf>
    <xf numFmtId="0" fontId="51" fillId="0" borderId="43" xfId="38" applyFont="1" applyFill="1" applyBorder="1" applyAlignment="1">
      <alignment horizontal="center" vertical="center"/>
      <protection/>
    </xf>
    <xf numFmtId="0" fontId="49" fillId="18" borderId="43" xfId="39" applyFont="1" applyFill="1" applyBorder="1" applyAlignment="1">
      <alignment horizontal="center" vertical="center"/>
      <protection/>
    </xf>
    <xf numFmtId="2" fontId="8" fillId="0" borderId="43" xfId="38" applyNumberFormat="1" applyFont="1" applyFill="1" applyBorder="1" applyAlignment="1">
      <alignment horizontal="right" vertical="center"/>
      <protection/>
    </xf>
    <xf numFmtId="2" fontId="18" fillId="0" borderId="43" xfId="38" applyNumberFormat="1" applyFont="1" applyFill="1" applyBorder="1" applyAlignment="1">
      <alignment horizontal="center" vertical="center"/>
      <protection/>
    </xf>
    <xf numFmtId="0" fontId="49" fillId="0" borderId="43" xfId="39" applyFont="1" applyFill="1" applyBorder="1" applyAlignment="1">
      <alignment horizontal="center" vertical="center"/>
      <protection/>
    </xf>
    <xf numFmtId="0" fontId="18" fillId="2" borderId="43" xfId="38" applyFont="1" applyFill="1" applyBorder="1" applyAlignment="1">
      <alignment horizontal="center" vertical="center"/>
      <protection/>
    </xf>
    <xf numFmtId="0" fontId="51" fillId="18" borderId="43" xfId="39" applyFont="1" applyFill="1" applyBorder="1" applyAlignment="1">
      <alignment horizontal="center" vertical="center"/>
      <protection/>
    </xf>
    <xf numFmtId="0" fontId="49" fillId="18" borderId="43" xfId="38" applyFont="1" applyFill="1" applyBorder="1" applyAlignment="1" applyProtection="1">
      <alignment horizontal="center" vertical="center" wrapText="1"/>
      <protection/>
    </xf>
    <xf numFmtId="0" fontId="51" fillId="0" borderId="43" xfId="39" applyFont="1" applyFill="1" applyBorder="1" applyAlignment="1">
      <alignment horizontal="center" vertical="center"/>
      <protection/>
    </xf>
    <xf numFmtId="0" fontId="18" fillId="18" borderId="43" xfId="39" applyFont="1" applyFill="1" applyBorder="1" applyAlignment="1">
      <alignment horizontal="center" vertical="center"/>
      <protection/>
    </xf>
    <xf numFmtId="0" fontId="51" fillId="19" borderId="43" xfId="39" applyFont="1" applyFill="1" applyBorder="1" applyAlignment="1">
      <alignment horizontal="center" vertical="center"/>
      <protection/>
    </xf>
    <xf numFmtId="0" fontId="51" fillId="20" borderId="43" xfId="39" applyFont="1" applyFill="1" applyBorder="1" applyAlignment="1">
      <alignment horizontal="center" vertical="center"/>
      <protection/>
    </xf>
    <xf numFmtId="0" fontId="49" fillId="9" borderId="59" xfId="39" applyFont="1" applyFill="1" applyBorder="1" applyAlignment="1">
      <alignment horizontal="center" vertical="center"/>
      <protection/>
    </xf>
    <xf numFmtId="0" fontId="51" fillId="9" borderId="28" xfId="39" applyFont="1" applyFill="1" applyBorder="1" applyAlignment="1">
      <alignment vertical="center" wrapText="1"/>
      <protection/>
    </xf>
    <xf numFmtId="0" fontId="18" fillId="0" borderId="43" xfId="39" applyFont="1" applyFill="1" applyBorder="1" applyAlignment="1">
      <alignment horizontal="center" vertical="center" wrapText="1"/>
      <protection/>
    </xf>
    <xf numFmtId="0" fontId="18" fillId="19" borderId="43" xfId="39" applyFont="1" applyFill="1" applyBorder="1" applyAlignment="1">
      <alignment horizontal="center" vertical="center" wrapText="1"/>
      <protection/>
    </xf>
    <xf numFmtId="0" fontId="18" fillId="0" borderId="64" xfId="39" applyFont="1" applyFill="1" applyBorder="1" applyAlignment="1">
      <alignment horizontal="center" vertical="center" wrapText="1"/>
      <protection/>
    </xf>
    <xf numFmtId="0" fontId="18" fillId="0" borderId="43" xfId="39" applyFont="1" applyBorder="1" applyAlignment="1">
      <alignment horizontal="center" vertical="center" wrapText="1"/>
      <protection/>
    </xf>
    <xf numFmtId="0" fontId="18" fillId="0" borderId="66" xfId="39" applyFont="1" applyBorder="1" applyAlignment="1">
      <alignment horizontal="center" vertical="center" wrapText="1"/>
      <protection/>
    </xf>
    <xf numFmtId="0" fontId="18" fillId="0" borderId="64" xfId="39" applyFont="1" applyBorder="1" applyAlignment="1">
      <alignment horizontal="center" vertical="center" wrapText="1"/>
      <protection/>
    </xf>
    <xf numFmtId="0" fontId="18" fillId="20" borderId="64" xfId="39" applyFont="1" applyFill="1" applyBorder="1" applyAlignment="1">
      <alignment horizontal="center" vertical="center" wrapText="1"/>
      <protection/>
    </xf>
    <xf numFmtId="0" fontId="18" fillId="20" borderId="65" xfId="39" applyFont="1" applyFill="1" applyBorder="1" applyAlignment="1">
      <alignment horizontal="center" vertical="center" wrapText="1"/>
      <protection/>
    </xf>
    <xf numFmtId="0" fontId="18" fillId="9" borderId="37" xfId="39" applyFont="1" applyFill="1" applyBorder="1" applyAlignment="1">
      <alignment horizontal="center" vertical="center" wrapText="1"/>
      <protection/>
    </xf>
    <xf numFmtId="0" fontId="18" fillId="0" borderId="43" xfId="80" applyFont="1" applyFill="1" applyBorder="1" applyAlignment="1">
      <alignment horizontal="center" vertical="center" wrapText="1"/>
      <protection/>
    </xf>
    <xf numFmtId="0" fontId="18" fillId="19" borderId="64" xfId="39" applyFont="1" applyFill="1" applyBorder="1" applyAlignment="1">
      <alignment horizontal="center" vertical="center"/>
      <protection/>
    </xf>
    <xf numFmtId="0" fontId="18" fillId="18" borderId="64" xfId="39" applyFont="1" applyFill="1" applyBorder="1" applyAlignment="1">
      <alignment horizontal="center" vertical="center" wrapText="1"/>
      <protection/>
    </xf>
    <xf numFmtId="0" fontId="18" fillId="0" borderId="43" xfId="80" applyFont="1" applyBorder="1" applyAlignment="1">
      <alignment horizontal="center" vertical="center" wrapText="1"/>
      <protection/>
    </xf>
    <xf numFmtId="0" fontId="18" fillId="19" borderId="64" xfId="39" applyFont="1" applyFill="1" applyBorder="1" applyAlignment="1">
      <alignment horizontal="center" vertical="center" wrapText="1"/>
      <protection/>
    </xf>
    <xf numFmtId="0" fontId="18" fillId="20" borderId="43" xfId="39" applyFont="1" applyFill="1" applyBorder="1" applyAlignment="1">
      <alignment horizontal="center" vertical="center"/>
      <protection/>
    </xf>
    <xf numFmtId="0" fontId="18" fillId="0" borderId="64" xfId="80" applyFont="1" applyBorder="1" applyAlignment="1">
      <alignment horizontal="center" vertical="center" wrapText="1"/>
      <protection/>
    </xf>
    <xf numFmtId="0" fontId="18" fillId="20" borderId="65" xfId="39" applyFont="1" applyFill="1" applyBorder="1" applyAlignment="1">
      <alignment horizontal="center" vertical="center"/>
      <protection/>
    </xf>
    <xf numFmtId="0" fontId="49" fillId="9" borderId="37" xfId="39" applyFont="1" applyFill="1" applyBorder="1" applyAlignment="1">
      <alignment horizontal="center" vertical="center"/>
      <protection/>
    </xf>
    <xf numFmtId="0" fontId="51" fillId="9" borderId="28" xfId="39" applyFont="1" applyFill="1" applyBorder="1" applyAlignment="1">
      <alignment vertical="center"/>
      <protection/>
    </xf>
    <xf numFmtId="0" fontId="49" fillId="0" borderId="43" xfId="35" applyFont="1" applyBorder="1" applyAlignment="1">
      <alignment horizontal="center" vertical="center"/>
      <protection/>
    </xf>
    <xf numFmtId="0" fontId="18" fillId="0" borderId="64" xfId="35" applyFont="1" applyFill="1" applyBorder="1" applyAlignment="1">
      <alignment horizontal="center" vertical="center" wrapText="1"/>
      <protection/>
    </xf>
    <xf numFmtId="0" fontId="18" fillId="0" borderId="43" xfId="35" applyFont="1" applyFill="1" applyBorder="1" applyAlignment="1">
      <alignment horizontal="center" vertical="center" wrapText="1"/>
      <protection/>
    </xf>
    <xf numFmtId="0" fontId="18" fillId="19" borderId="66" xfId="39" applyFont="1" applyFill="1" applyBorder="1" applyAlignment="1">
      <alignment horizontal="center" vertical="center"/>
      <protection/>
    </xf>
    <xf numFmtId="0" fontId="18" fillId="0" borderId="64" xfId="39" applyFont="1" applyFill="1" applyBorder="1" applyAlignment="1">
      <alignment horizontal="center" vertical="center"/>
      <protection/>
    </xf>
    <xf numFmtId="0" fontId="18" fillId="19" borderId="43" xfId="39" applyFont="1" applyFill="1" applyBorder="1" applyAlignment="1">
      <alignment horizontal="center" vertical="center"/>
      <protection/>
    </xf>
    <xf numFmtId="0" fontId="18" fillId="20" borderId="58" xfId="39" applyFont="1" applyFill="1" applyBorder="1" applyAlignment="1">
      <alignment horizontal="center" vertical="center"/>
      <protection/>
    </xf>
    <xf numFmtId="0" fontId="51" fillId="9" borderId="58" xfId="39" applyFont="1" applyFill="1" applyBorder="1" applyAlignment="1">
      <alignment vertical="center"/>
      <protection/>
    </xf>
    <xf numFmtId="0" fontId="49" fillId="0" borderId="28" xfId="39" applyFont="1" applyFill="1" applyBorder="1" applyAlignment="1">
      <alignment horizontal="center" vertical="center" wrapText="1"/>
      <protection/>
    </xf>
    <xf numFmtId="0" fontId="49" fillId="0" borderId="66" xfId="39" applyFont="1" applyFill="1" applyBorder="1" applyAlignment="1">
      <alignment horizontal="center" vertical="center" wrapText="1"/>
      <protection/>
    </xf>
    <xf numFmtId="0" fontId="49" fillId="0" borderId="43" xfId="39" applyFont="1" applyFill="1" applyBorder="1" applyAlignment="1">
      <alignment horizontal="center" vertical="center" wrapText="1"/>
      <protection/>
    </xf>
    <xf numFmtId="2" fontId="49" fillId="9" borderId="37" xfId="39" applyNumberFormat="1" applyFont="1" applyFill="1" applyBorder="1" applyAlignment="1">
      <alignment horizontal="center" vertical="center"/>
      <protection/>
    </xf>
    <xf numFmtId="0" fontId="51" fillId="9" borderId="64" xfId="39" applyFont="1" applyFill="1" applyBorder="1" applyAlignment="1">
      <alignment/>
      <protection/>
    </xf>
    <xf numFmtId="0" fontId="18" fillId="0" borderId="58" xfId="39" applyFont="1" applyFill="1" applyBorder="1" applyAlignment="1">
      <alignment horizontal="center" vertical="center"/>
      <protection/>
    </xf>
    <xf numFmtId="0" fontId="49" fillId="9" borderId="55" xfId="39" applyFont="1" applyFill="1" applyBorder="1" applyAlignment="1">
      <alignment horizontal="center" vertical="center"/>
      <protection/>
    </xf>
    <xf numFmtId="4" fontId="18" fillId="0" borderId="14" xfId="39" applyNumberFormat="1" applyFont="1" applyFill="1" applyBorder="1" applyAlignment="1">
      <alignment horizontal="right" vertical="center" wrapText="1"/>
      <protection/>
    </xf>
    <xf numFmtId="4" fontId="8" fillId="0" borderId="14" xfId="38" applyNumberFormat="1" applyFont="1" applyFill="1" applyBorder="1" applyAlignment="1">
      <alignment horizontal="right" vertical="center"/>
      <protection/>
    </xf>
    <xf numFmtId="4" fontId="8" fillId="2" borderId="14" xfId="38" applyNumberFormat="1" applyFont="1" applyFill="1" applyBorder="1" applyAlignment="1">
      <alignment horizontal="right" vertical="center"/>
      <protection/>
    </xf>
    <xf numFmtId="4" fontId="18" fillId="0" borderId="14" xfId="39" applyNumberFormat="1" applyFont="1" applyFill="1" applyBorder="1" applyAlignment="1">
      <alignment horizontal="center" vertical="center" wrapText="1"/>
      <protection/>
    </xf>
    <xf numFmtId="4" fontId="18" fillId="0" borderId="14" xfId="0" applyNumberFormat="1" applyFont="1" applyBorder="1" applyAlignment="1">
      <alignment horizontal="right" vertical="center"/>
    </xf>
    <xf numFmtId="4" fontId="49" fillId="19" borderId="14" xfId="39" applyNumberFormat="1" applyFont="1" applyFill="1" applyBorder="1" applyAlignment="1">
      <alignment horizontal="right" vertical="center"/>
      <protection/>
    </xf>
    <xf numFmtId="4" fontId="49" fillId="20" borderId="14" xfId="39" applyNumberFormat="1" applyFont="1" applyFill="1" applyBorder="1" applyAlignment="1">
      <alignment horizontal="right" vertical="center"/>
      <protection/>
    </xf>
    <xf numFmtId="4" fontId="51" fillId="9" borderId="31" xfId="39" applyNumberFormat="1" applyFont="1" applyFill="1" applyBorder="1" applyAlignment="1">
      <alignment vertical="center" wrapText="1"/>
      <protection/>
    </xf>
    <xf numFmtId="4" fontId="18" fillId="0" borderId="22" xfId="39" applyNumberFormat="1" applyFont="1" applyFill="1" applyBorder="1" applyAlignment="1">
      <alignment horizontal="right" vertical="center" wrapText="1"/>
      <protection/>
    </xf>
    <xf numFmtId="4" fontId="18" fillId="0" borderId="14" xfId="39" applyNumberFormat="1" applyFont="1" applyBorder="1" applyAlignment="1">
      <alignment vertical="center" wrapText="1"/>
      <protection/>
    </xf>
    <xf numFmtId="4" fontId="18" fillId="0" borderId="49" xfId="39" applyNumberFormat="1" applyFont="1" applyBorder="1" applyAlignment="1">
      <alignment vertical="center" wrapText="1"/>
      <protection/>
    </xf>
    <xf numFmtId="4" fontId="18" fillId="0" borderId="22" xfId="39" applyNumberFormat="1" applyFont="1" applyBorder="1" applyAlignment="1">
      <alignment vertical="center" wrapText="1"/>
      <protection/>
    </xf>
    <xf numFmtId="4" fontId="18" fillId="19" borderId="14" xfId="39" applyNumberFormat="1" applyFont="1" applyFill="1" applyBorder="1" applyAlignment="1">
      <alignment vertical="center" wrapText="1"/>
      <protection/>
    </xf>
    <xf numFmtId="4" fontId="18" fillId="20" borderId="22" xfId="39" applyNumberFormat="1" applyFont="1" applyFill="1" applyBorder="1" applyAlignment="1">
      <alignment vertical="center" wrapText="1"/>
      <protection/>
    </xf>
    <xf numFmtId="4" fontId="18" fillId="20" borderId="27" xfId="39" applyNumberFormat="1" applyFont="1" applyFill="1" applyBorder="1" applyAlignment="1">
      <alignment vertical="center" wrapText="1"/>
      <protection/>
    </xf>
    <xf numFmtId="4" fontId="18" fillId="9" borderId="30" xfId="39" applyNumberFormat="1" applyFont="1" applyFill="1" applyBorder="1" applyAlignment="1">
      <alignment vertical="center" wrapText="1"/>
      <protection/>
    </xf>
    <xf numFmtId="4" fontId="51" fillId="9" borderId="31" xfId="39" applyNumberFormat="1" applyFont="1" applyFill="1" applyBorder="1" applyAlignment="1">
      <alignment/>
      <protection/>
    </xf>
    <xf numFmtId="4" fontId="18" fillId="0" borderId="14" xfId="39" applyNumberFormat="1" applyFont="1" applyFill="1" applyBorder="1" applyAlignment="1" applyProtection="1">
      <alignment vertical="center"/>
      <protection/>
    </xf>
    <xf numFmtId="4" fontId="18" fillId="0" borderId="22" xfId="80" applyNumberFormat="1" applyFont="1" applyFill="1" applyBorder="1" applyAlignment="1">
      <alignment vertical="center"/>
      <protection/>
    </xf>
    <xf numFmtId="4" fontId="18" fillId="19" borderId="22" xfId="39" applyNumberFormat="1" applyFont="1" applyFill="1" applyBorder="1" applyAlignment="1">
      <alignment vertical="center"/>
      <protection/>
    </xf>
    <xf numFmtId="4" fontId="18" fillId="18" borderId="22" xfId="39" applyNumberFormat="1" applyFont="1" applyFill="1" applyBorder="1" applyAlignment="1" applyProtection="1">
      <alignment vertical="center"/>
      <protection/>
    </xf>
    <xf numFmtId="4" fontId="18" fillId="0" borderId="22" xfId="39" applyNumberFormat="1" applyFont="1" applyFill="1" applyBorder="1" applyAlignment="1" applyProtection="1">
      <alignment vertical="center"/>
      <protection/>
    </xf>
    <xf numFmtId="4" fontId="18" fillId="0" borderId="14" xfId="80" applyNumberFormat="1" applyFont="1" applyFill="1" applyBorder="1" applyAlignment="1">
      <alignment vertical="center"/>
      <protection/>
    </xf>
    <xf numFmtId="4" fontId="18" fillId="19" borderId="22" xfId="39" applyNumberFormat="1" applyFont="1" applyFill="1" applyBorder="1" applyAlignment="1" applyProtection="1">
      <alignment vertical="center"/>
      <protection/>
    </xf>
    <xf numFmtId="4" fontId="18" fillId="20" borderId="14" xfId="39" applyNumberFormat="1" applyFont="1" applyFill="1" applyBorder="1" applyAlignment="1">
      <alignment vertical="center"/>
      <protection/>
    </xf>
    <xf numFmtId="4" fontId="18" fillId="0" borderId="14" xfId="80" applyNumberFormat="1" applyFont="1" applyBorder="1" applyAlignment="1">
      <alignment vertical="center"/>
      <protection/>
    </xf>
    <xf numFmtId="4" fontId="18" fillId="20" borderId="27" xfId="39" applyNumberFormat="1" applyFont="1" applyFill="1" applyBorder="1" applyAlignment="1">
      <alignment vertical="center"/>
      <protection/>
    </xf>
    <xf numFmtId="4" fontId="18" fillId="0" borderId="14" xfId="35" applyNumberFormat="1" applyFont="1" applyBorder="1" applyAlignment="1">
      <alignment vertical="center"/>
      <protection/>
    </xf>
    <xf numFmtId="4" fontId="18" fillId="0" borderId="22" xfId="35" applyNumberFormat="1" applyFont="1" applyFill="1" applyBorder="1" applyAlignment="1">
      <alignment vertical="center" wrapText="1"/>
      <protection/>
    </xf>
    <xf numFmtId="4" fontId="18" fillId="0" borderId="14" xfId="35" applyNumberFormat="1" applyFont="1" applyFill="1" applyBorder="1" applyAlignment="1">
      <alignment vertical="center" wrapText="1"/>
      <protection/>
    </xf>
    <xf numFmtId="4" fontId="18" fillId="19" borderId="48" xfId="39" applyNumberFormat="1" applyFont="1" applyFill="1" applyBorder="1" applyAlignment="1">
      <alignment vertical="center"/>
      <protection/>
    </xf>
    <xf numFmtId="4" fontId="18" fillId="0" borderId="22" xfId="39" applyNumberFormat="1" applyFont="1" applyFill="1" applyBorder="1" applyAlignment="1">
      <alignment vertical="center"/>
      <protection/>
    </xf>
    <xf numFmtId="4" fontId="18" fillId="19" borderId="14" xfId="39" applyNumberFormat="1" applyFont="1" applyFill="1" applyBorder="1" applyAlignment="1">
      <alignment vertical="center"/>
      <protection/>
    </xf>
    <xf numFmtId="4" fontId="18" fillId="2" borderId="22" xfId="35" applyNumberFormat="1" applyFont="1" applyFill="1" applyBorder="1" applyAlignment="1">
      <alignment vertical="center"/>
      <protection/>
    </xf>
    <xf numFmtId="4" fontId="18" fillId="2" borderId="14" xfId="35" applyNumberFormat="1" applyFont="1" applyFill="1" applyBorder="1" applyAlignment="1">
      <alignment vertical="center"/>
      <protection/>
    </xf>
    <xf numFmtId="4" fontId="18" fillId="0" borderId="14" xfId="35" applyNumberFormat="1" applyFont="1" applyFill="1" applyBorder="1" applyAlignment="1">
      <alignment vertical="center"/>
      <protection/>
    </xf>
    <xf numFmtId="4" fontId="18" fillId="20" borderId="32" xfId="39" applyNumberFormat="1" applyFont="1" applyFill="1" applyBorder="1" applyAlignment="1">
      <alignment vertical="center"/>
      <protection/>
    </xf>
    <xf numFmtId="4" fontId="18" fillId="0" borderId="31" xfId="39" applyNumberFormat="1" applyFont="1" applyFill="1" applyBorder="1" applyAlignment="1">
      <alignment vertical="center" wrapText="1"/>
      <protection/>
    </xf>
    <xf numFmtId="4" fontId="18" fillId="0" borderId="48" xfId="39" applyNumberFormat="1" applyFont="1" applyFill="1" applyBorder="1" applyAlignment="1">
      <alignment vertical="center" wrapText="1"/>
      <protection/>
    </xf>
    <xf numFmtId="4" fontId="18" fillId="0" borderId="22" xfId="39" applyNumberFormat="1" applyFont="1" applyFill="1" applyBorder="1" applyAlignment="1">
      <alignment vertical="center" wrapText="1"/>
      <protection/>
    </xf>
    <xf numFmtId="4" fontId="18" fillId="0" borderId="27" xfId="39" applyNumberFormat="1" applyFont="1" applyFill="1" applyBorder="1" applyAlignment="1">
      <alignment vertical="center" wrapText="1"/>
      <protection/>
    </xf>
    <xf numFmtId="4" fontId="18" fillId="0" borderId="32" xfId="39" applyNumberFormat="1" applyFont="1" applyFill="1" applyBorder="1" applyAlignment="1">
      <alignment vertical="center" wrapText="1"/>
      <protection/>
    </xf>
    <xf numFmtId="49" fontId="49" fillId="0" borderId="27" xfId="39" applyNumberFormat="1" applyFont="1" applyFill="1" applyBorder="1" applyAlignment="1" applyProtection="1">
      <alignment horizontal="left" vertical="center" wrapText="1"/>
      <protection/>
    </xf>
    <xf numFmtId="0" fontId="51" fillId="0" borderId="65" xfId="39" applyFont="1" applyFill="1" applyBorder="1" applyAlignment="1">
      <alignment horizontal="center" vertical="center"/>
      <protection/>
    </xf>
    <xf numFmtId="4" fontId="51" fillId="0" borderId="21" xfId="39" applyNumberFormat="1" applyFont="1" applyFill="1" applyBorder="1" applyAlignment="1">
      <alignment horizontal="right" vertical="center"/>
      <protection/>
    </xf>
    <xf numFmtId="4" fontId="18" fillId="0" borderId="77" xfId="38" applyNumberFormat="1" applyFont="1" applyFill="1" applyBorder="1" applyAlignment="1">
      <alignment horizontal="right" vertical="center"/>
      <protection/>
    </xf>
    <xf numFmtId="4" fontId="18" fillId="0" borderId="68" xfId="38" applyNumberFormat="1" applyFont="1" applyFill="1" applyBorder="1" applyAlignment="1">
      <alignment horizontal="right" vertical="center"/>
      <protection/>
    </xf>
    <xf numFmtId="4" fontId="18" fillId="0" borderId="32" xfId="38" applyNumberFormat="1" applyFont="1" applyFill="1" applyBorder="1" applyAlignment="1">
      <alignment horizontal="right" vertical="center"/>
      <protection/>
    </xf>
    <xf numFmtId="4" fontId="18" fillId="0" borderId="76" xfId="38" applyNumberFormat="1" applyFont="1" applyFill="1" applyBorder="1" applyAlignment="1">
      <alignment horizontal="right" vertical="center"/>
      <protection/>
    </xf>
    <xf numFmtId="0" fontId="18" fillId="0" borderId="10" xfId="36" applyFont="1" applyFill="1" applyBorder="1" applyAlignment="1">
      <alignment horizontal="center" vertical="center" wrapText="1"/>
      <protection/>
    </xf>
    <xf numFmtId="0" fontId="54" fillId="0" borderId="0" xfId="35" applyFont="1" applyAlignment="1">
      <alignment horizontal="right"/>
      <protection/>
    </xf>
    <xf numFmtId="0" fontId="18" fillId="0" borderId="0" xfId="35" applyFont="1" applyFill="1" applyAlignment="1">
      <alignment horizontal="right"/>
      <protection/>
    </xf>
    <xf numFmtId="0" fontId="18" fillId="0" borderId="0" xfId="35" applyFont="1" applyAlignment="1">
      <alignment horizontal="right"/>
      <protection/>
    </xf>
    <xf numFmtId="0" fontId="9" fillId="8" borderId="10" xfId="35" applyFont="1" applyFill="1" applyBorder="1" applyAlignment="1">
      <alignment horizontal="center" vertical="center"/>
      <protection/>
    </xf>
    <xf numFmtId="0" fontId="2" fillId="0" borderId="0" xfId="51" applyFont="1" applyBorder="1" applyAlignment="1" applyProtection="1">
      <alignment horizontal="center" vertical="center" wrapText="1"/>
      <protection/>
    </xf>
    <xf numFmtId="0" fontId="55" fillId="9" borderId="40" xfId="35" applyFont="1" applyFill="1" applyBorder="1" applyAlignment="1" applyProtection="1">
      <alignment horizontal="center" vertical="center"/>
      <protection/>
    </xf>
    <xf numFmtId="0" fontId="56" fillId="8" borderId="37" xfId="35" applyFont="1" applyFill="1" applyBorder="1" applyAlignment="1" applyProtection="1">
      <alignment horizontal="center" vertical="center"/>
      <protection/>
    </xf>
    <xf numFmtId="0" fontId="56" fillId="8" borderId="38" xfId="35" applyFont="1" applyFill="1" applyBorder="1" applyAlignment="1" applyProtection="1">
      <alignment horizontal="center" vertical="center"/>
      <protection/>
    </xf>
    <xf numFmtId="0" fontId="56" fillId="8" borderId="62" xfId="35" applyFont="1" applyFill="1" applyBorder="1" applyAlignment="1" applyProtection="1">
      <alignment horizontal="center" vertical="center"/>
      <protection/>
    </xf>
    <xf numFmtId="14" fontId="53" fillId="8" borderId="37" xfId="35" applyNumberFormat="1" applyFont="1" applyFill="1" applyBorder="1" applyAlignment="1" applyProtection="1">
      <alignment horizontal="center" vertical="center"/>
      <protection/>
    </xf>
    <xf numFmtId="14" fontId="53" fillId="8" borderId="62" xfId="35" applyNumberFormat="1" applyFont="1" applyFill="1" applyBorder="1" applyAlignment="1" applyProtection="1">
      <alignment horizontal="center" vertical="center"/>
      <protection/>
    </xf>
    <xf numFmtId="0" fontId="49" fillId="0" borderId="10" xfId="68" applyFont="1" applyFill="1" applyBorder="1" applyAlignment="1">
      <alignment horizontal="center" vertical="center"/>
      <protection/>
    </xf>
    <xf numFmtId="0" fontId="53" fillId="0" borderId="0" xfId="67" applyFont="1" applyAlignment="1" applyProtection="1">
      <alignment/>
      <protection hidden="1"/>
    </xf>
    <xf numFmtId="0" fontId="16" fillId="0" borderId="0" xfId="67" applyFont="1" applyAlignment="1" applyProtection="1">
      <alignment horizontal="left"/>
      <protection hidden="1"/>
    </xf>
    <xf numFmtId="0" fontId="56" fillId="0" borderId="10" xfId="68" applyFont="1" applyBorder="1" applyAlignment="1">
      <alignment horizontal="left" vertical="center" wrapText="1"/>
      <protection/>
    </xf>
    <xf numFmtId="0" fontId="53" fillId="0" borderId="10" xfId="65" applyFont="1" applyBorder="1" applyAlignment="1" applyProtection="1">
      <alignment horizontal="center" vertical="center" wrapText="1"/>
      <protection/>
    </xf>
    <xf numFmtId="0" fontId="53" fillId="0" borderId="0" xfId="67" applyFont="1" applyAlignment="1" applyProtection="1">
      <alignment horizontal="left"/>
      <protection hidden="1"/>
    </xf>
    <xf numFmtId="0" fontId="49" fillId="0" borderId="10" xfId="65" applyFont="1" applyFill="1" applyBorder="1" applyAlignment="1" applyProtection="1">
      <alignment horizontal="center" vertical="center" wrapText="1"/>
      <protection/>
    </xf>
    <xf numFmtId="0" fontId="49" fillId="0" borderId="53" xfId="35" applyFont="1" applyFill="1" applyBorder="1" applyAlignment="1" applyProtection="1">
      <alignment horizontal="center" vertical="center" wrapText="1"/>
      <protection/>
    </xf>
    <xf numFmtId="0" fontId="49" fillId="0" borderId="44" xfId="35" applyFont="1" applyFill="1" applyBorder="1" applyAlignment="1" applyProtection="1">
      <alignment horizontal="center" vertical="center" wrapText="1"/>
      <protection/>
    </xf>
    <xf numFmtId="0" fontId="49" fillId="0" borderId="11" xfId="35" applyFont="1" applyFill="1" applyBorder="1" applyAlignment="1" applyProtection="1">
      <alignment horizontal="center" vertical="center" wrapText="1"/>
      <protection/>
    </xf>
    <xf numFmtId="0" fontId="49" fillId="2" borderId="10" xfId="35" applyFont="1" applyFill="1" applyBorder="1" applyAlignment="1" applyProtection="1">
      <alignment horizontal="center" vertical="center"/>
      <protection/>
    </xf>
    <xf numFmtId="0" fontId="53" fillId="2" borderId="10" xfId="35" applyFont="1" applyFill="1" applyBorder="1" applyAlignment="1" applyProtection="1">
      <alignment horizontal="center" vertical="center" wrapText="1"/>
      <protection/>
    </xf>
    <xf numFmtId="0" fontId="53" fillId="2" borderId="67" xfId="35" applyFont="1" applyFill="1" applyBorder="1" applyProtection="1">
      <alignment/>
      <protection/>
    </xf>
    <xf numFmtId="0" fontId="13" fillId="2" borderId="0" xfId="35" applyFont="1" applyFill="1" applyAlignment="1" applyProtection="1">
      <alignment horizontal="left" vertical="top" wrapText="1"/>
      <protection/>
    </xf>
    <xf numFmtId="0" fontId="16" fillId="2" borderId="0" xfId="35" applyFont="1" applyFill="1" applyProtection="1">
      <alignment/>
      <protection/>
    </xf>
    <xf numFmtId="0" fontId="49" fillId="2" borderId="10" xfId="35" applyFont="1" applyFill="1" applyBorder="1" applyAlignment="1" applyProtection="1">
      <alignment horizontal="center" vertical="center" wrapText="1"/>
      <protection/>
    </xf>
    <xf numFmtId="0" fontId="18" fillId="2" borderId="10" xfId="35" applyFont="1" applyFill="1" applyBorder="1" applyAlignment="1" applyProtection="1">
      <alignment horizontal="center" vertical="center" wrapText="1"/>
      <protection/>
    </xf>
    <xf numFmtId="0" fontId="53" fillId="2" borderId="10" xfId="35" applyFont="1" applyFill="1" applyBorder="1" applyAlignment="1" applyProtection="1">
      <alignment horizontal="center" vertical="center" wrapText="1"/>
      <protection locked="0"/>
    </xf>
    <xf numFmtId="0" fontId="53" fillId="2" borderId="53" xfId="35" applyFont="1" applyFill="1" applyBorder="1" applyAlignment="1" applyProtection="1">
      <alignment horizontal="center" vertical="center" wrapText="1"/>
      <protection/>
    </xf>
    <xf numFmtId="0" fontId="53" fillId="2" borderId="44" xfId="35" applyFont="1" applyFill="1" applyBorder="1" applyAlignment="1" applyProtection="1">
      <alignment horizontal="center" vertical="center" wrapText="1"/>
      <protection/>
    </xf>
    <xf numFmtId="0" fontId="53" fillId="2" borderId="11" xfId="35" applyFont="1" applyFill="1" applyBorder="1" applyAlignment="1" applyProtection="1">
      <alignment horizontal="center" vertical="center" wrapText="1"/>
      <protection/>
    </xf>
    <xf numFmtId="0" fontId="53" fillId="2" borderId="10" xfId="35" applyFont="1" applyFill="1" applyBorder="1" applyAlignment="1" applyProtection="1">
      <alignment horizontal="center" vertical="top" wrapText="1"/>
      <protection/>
    </xf>
    <xf numFmtId="0" fontId="53" fillId="2" borderId="21" xfId="35" applyFont="1" applyFill="1" applyBorder="1" applyAlignment="1" applyProtection="1">
      <alignment horizontal="center" vertical="center"/>
      <protection/>
    </xf>
    <xf numFmtId="0" fontId="53" fillId="2" borderId="20" xfId="35" applyFont="1" applyFill="1" applyBorder="1" applyAlignment="1" applyProtection="1">
      <alignment horizontal="center" vertical="center"/>
      <protection/>
    </xf>
    <xf numFmtId="4" fontId="53" fillId="0" borderId="69" xfId="35" applyNumberFormat="1" applyFont="1" applyFill="1" applyBorder="1" applyAlignment="1" applyProtection="1">
      <alignment horizontal="center" vertical="center"/>
      <protection/>
    </xf>
    <xf numFmtId="4" fontId="53" fillId="0" borderId="67" xfId="35" applyNumberFormat="1" applyFont="1" applyFill="1" applyBorder="1" applyAlignment="1" applyProtection="1">
      <alignment horizontal="center" vertical="center"/>
      <protection/>
    </xf>
    <xf numFmtId="4" fontId="53" fillId="0" borderId="25" xfId="35" applyNumberFormat="1" applyFont="1" applyFill="1" applyBorder="1" applyAlignment="1" applyProtection="1">
      <alignment horizontal="center" vertical="center"/>
      <protection/>
    </xf>
    <xf numFmtId="4" fontId="53" fillId="0" borderId="70" xfId="35" applyNumberFormat="1" applyFont="1" applyFill="1" applyBorder="1" applyAlignment="1" applyProtection="1">
      <alignment horizontal="center" vertical="center"/>
      <protection/>
    </xf>
    <xf numFmtId="4" fontId="53" fillId="0" borderId="71" xfId="35" applyNumberFormat="1" applyFont="1" applyFill="1" applyBorder="1" applyAlignment="1" applyProtection="1">
      <alignment horizontal="center" vertical="center"/>
      <protection/>
    </xf>
    <xf numFmtId="4" fontId="53" fillId="0" borderId="23" xfId="35" applyNumberFormat="1" applyFont="1" applyFill="1" applyBorder="1" applyAlignment="1" applyProtection="1">
      <alignment horizontal="center" vertical="center"/>
      <protection/>
    </xf>
    <xf numFmtId="10" fontId="53" fillId="0" borderId="53" xfId="35" applyNumberFormat="1" applyFont="1" applyFill="1" applyBorder="1" applyAlignment="1" applyProtection="1">
      <alignment horizontal="center" vertical="center"/>
      <protection/>
    </xf>
    <xf numFmtId="10" fontId="53" fillId="0" borderId="11" xfId="35" applyNumberFormat="1" applyFont="1" applyFill="1" applyBorder="1" applyAlignment="1" applyProtection="1">
      <alignment horizontal="center" vertical="center"/>
      <protection/>
    </xf>
    <xf numFmtId="4" fontId="53" fillId="0" borderId="53" xfId="35" applyNumberFormat="1" applyFont="1" applyFill="1" applyBorder="1" applyAlignment="1" applyProtection="1">
      <alignment horizontal="center" vertical="center"/>
      <protection locked="0"/>
    </xf>
    <xf numFmtId="4" fontId="53" fillId="0" borderId="44" xfId="35" applyNumberFormat="1" applyFont="1" applyFill="1" applyBorder="1" applyAlignment="1" applyProtection="1">
      <alignment horizontal="center" vertical="center"/>
      <protection locked="0"/>
    </xf>
    <xf numFmtId="4" fontId="53" fillId="0" borderId="11" xfId="35" applyNumberFormat="1" applyFont="1" applyFill="1" applyBorder="1" applyAlignment="1" applyProtection="1">
      <alignment horizontal="center" vertical="center"/>
      <protection locked="0"/>
    </xf>
    <xf numFmtId="0" fontId="53" fillId="2" borderId="21" xfId="35" applyFont="1" applyFill="1" applyBorder="1" applyAlignment="1" applyProtection="1">
      <alignment horizontal="center" vertical="top" wrapText="1"/>
      <protection/>
    </xf>
    <xf numFmtId="0" fontId="53" fillId="2" borderId="19" xfId="35" applyFont="1" applyFill="1" applyBorder="1" applyAlignment="1" applyProtection="1">
      <alignment horizontal="center" vertical="top" wrapText="1"/>
      <protection/>
    </xf>
    <xf numFmtId="0" fontId="53" fillId="2" borderId="20" xfId="35" applyFont="1" applyFill="1" applyBorder="1" applyAlignment="1" applyProtection="1">
      <alignment horizontal="center" vertical="top" wrapText="1"/>
      <protection/>
    </xf>
    <xf numFmtId="3" fontId="53" fillId="0" borderId="21" xfId="35" applyNumberFormat="1" applyFont="1" applyFill="1" applyBorder="1" applyAlignment="1" applyProtection="1">
      <alignment horizontal="center" vertical="center"/>
      <protection/>
    </xf>
    <xf numFmtId="3" fontId="53" fillId="0" borderId="20" xfId="35" applyNumberFormat="1" applyFont="1" applyFill="1" applyBorder="1" applyAlignment="1" applyProtection="1">
      <alignment horizontal="center" vertical="center"/>
      <protection/>
    </xf>
    <xf numFmtId="4" fontId="53" fillId="0" borderId="21" xfId="35" applyNumberFormat="1" applyFont="1" applyFill="1" applyBorder="1" applyAlignment="1" applyProtection="1">
      <alignment horizontal="center" vertical="center"/>
      <protection/>
    </xf>
    <xf numFmtId="4" fontId="53" fillId="0" borderId="20" xfId="35" applyNumberFormat="1" applyFont="1" applyFill="1" applyBorder="1" applyAlignment="1" applyProtection="1">
      <alignment horizontal="center" vertical="center"/>
      <protection/>
    </xf>
    <xf numFmtId="4" fontId="53" fillId="22" borderId="53" xfId="35" applyNumberFormat="1" applyFont="1" applyFill="1" applyBorder="1" applyAlignment="1" applyProtection="1">
      <alignment horizontal="center" vertical="center"/>
      <protection locked="0"/>
    </xf>
    <xf numFmtId="4" fontId="53" fillId="22" borderId="11" xfId="35" applyNumberFormat="1" applyFont="1" applyFill="1" applyBorder="1" applyAlignment="1" applyProtection="1">
      <alignment horizontal="center" vertical="center"/>
      <protection locked="0"/>
    </xf>
    <xf numFmtId="3" fontId="53" fillId="0" borderId="69" xfId="35" applyNumberFormat="1" applyFont="1" applyFill="1" applyBorder="1" applyAlignment="1" applyProtection="1">
      <alignment horizontal="center" vertical="center"/>
      <protection locked="0"/>
    </xf>
    <xf numFmtId="3" fontId="53" fillId="0" borderId="67" xfId="35" applyNumberFormat="1" applyFont="1" applyFill="1" applyBorder="1" applyAlignment="1" applyProtection="1">
      <alignment horizontal="center" vertical="center"/>
      <protection locked="0"/>
    </xf>
    <xf numFmtId="3" fontId="53" fillId="0" borderId="25" xfId="35" applyNumberFormat="1" applyFont="1" applyFill="1" applyBorder="1" applyAlignment="1" applyProtection="1">
      <alignment horizontal="center" vertical="center"/>
      <protection locked="0"/>
    </xf>
    <xf numFmtId="3" fontId="53" fillId="0" borderId="53" xfId="35" applyNumberFormat="1" applyFont="1" applyFill="1" applyBorder="1" applyAlignment="1" applyProtection="1">
      <alignment horizontal="center" vertical="center"/>
      <protection locked="0"/>
    </xf>
    <xf numFmtId="3" fontId="53" fillId="0" borderId="44" xfId="35" applyNumberFormat="1" applyFont="1" applyFill="1" applyBorder="1" applyAlignment="1" applyProtection="1">
      <alignment horizontal="center" vertical="center"/>
      <protection locked="0"/>
    </xf>
    <xf numFmtId="3" fontId="53" fillId="0" borderId="11" xfId="35" applyNumberFormat="1" applyFont="1" applyFill="1" applyBorder="1" applyAlignment="1" applyProtection="1">
      <alignment horizontal="center" vertical="center"/>
      <protection locked="0"/>
    </xf>
    <xf numFmtId="4" fontId="53" fillId="0" borderId="53" xfId="35" applyNumberFormat="1" applyFont="1" applyFill="1" applyBorder="1" applyAlignment="1" applyProtection="1">
      <alignment horizontal="center" vertical="center"/>
      <protection/>
    </xf>
    <xf numFmtId="4" fontId="53" fillId="0" borderId="11" xfId="35" applyNumberFormat="1" applyFont="1" applyFill="1" applyBorder="1" applyAlignment="1" applyProtection="1">
      <alignment horizontal="center" vertical="center"/>
      <protection/>
    </xf>
    <xf numFmtId="10" fontId="53" fillId="0" borderId="21" xfId="35" applyNumberFormat="1" applyFont="1" applyFill="1" applyBorder="1" applyAlignment="1" applyProtection="1">
      <alignment horizontal="center" vertical="center"/>
      <protection/>
    </xf>
    <xf numFmtId="10" fontId="53" fillId="0" borderId="20" xfId="35" applyNumberFormat="1" applyFont="1" applyFill="1" applyBorder="1" applyAlignment="1" applyProtection="1">
      <alignment horizontal="center" vertical="center"/>
      <protection/>
    </xf>
    <xf numFmtId="3" fontId="53" fillId="0" borderId="53" xfId="35" applyNumberFormat="1" applyFont="1" applyFill="1" applyBorder="1" applyAlignment="1" applyProtection="1">
      <alignment horizontal="center" vertical="center"/>
      <protection/>
    </xf>
    <xf numFmtId="3" fontId="53" fillId="0" borderId="44" xfId="35" applyNumberFormat="1" applyFont="1" applyFill="1" applyBorder="1" applyAlignment="1" applyProtection="1">
      <alignment horizontal="center" vertical="center"/>
      <protection/>
    </xf>
    <xf numFmtId="3" fontId="53" fillId="0" borderId="11" xfId="35" applyNumberFormat="1" applyFont="1" applyFill="1" applyBorder="1" applyAlignment="1" applyProtection="1">
      <alignment horizontal="center" vertical="center"/>
      <protection/>
    </xf>
    <xf numFmtId="1" fontId="53" fillId="0" borderId="53" xfId="35" applyNumberFormat="1" applyFont="1" applyFill="1" applyBorder="1" applyAlignment="1" applyProtection="1">
      <alignment horizontal="center" vertical="center"/>
      <protection/>
    </xf>
    <xf numFmtId="1" fontId="53" fillId="0" borderId="44" xfId="35" applyNumberFormat="1" applyFont="1" applyFill="1" applyBorder="1" applyAlignment="1" applyProtection="1">
      <alignment horizontal="center" vertical="center"/>
      <protection/>
    </xf>
    <xf numFmtId="1" fontId="53" fillId="0" borderId="11" xfId="35" applyNumberFormat="1" applyFont="1" applyFill="1" applyBorder="1" applyAlignment="1" applyProtection="1">
      <alignment horizontal="center" vertical="center"/>
      <protection/>
    </xf>
    <xf numFmtId="1" fontId="53" fillId="0" borderId="53" xfId="35" applyNumberFormat="1" applyFont="1" applyFill="1" applyBorder="1" applyAlignment="1" applyProtection="1">
      <alignment horizontal="center" vertical="center"/>
      <protection locked="0"/>
    </xf>
    <xf numFmtId="1" fontId="53" fillId="0" borderId="44" xfId="35" applyNumberFormat="1" applyFont="1" applyFill="1" applyBorder="1" applyAlignment="1" applyProtection="1">
      <alignment horizontal="center" vertical="center"/>
      <protection locked="0"/>
    </xf>
    <xf numFmtId="1" fontId="53" fillId="0" borderId="11" xfId="35" applyNumberFormat="1" applyFont="1" applyFill="1" applyBorder="1" applyAlignment="1" applyProtection="1">
      <alignment horizontal="center" vertical="center"/>
      <protection locked="0"/>
    </xf>
    <xf numFmtId="3" fontId="53" fillId="0" borderId="69" xfId="35" applyNumberFormat="1" applyFont="1" applyFill="1" applyBorder="1" applyAlignment="1" applyProtection="1">
      <alignment horizontal="center" vertical="center"/>
      <protection/>
    </xf>
    <xf numFmtId="3" fontId="53" fillId="0" borderId="67" xfId="35" applyNumberFormat="1" applyFont="1" applyFill="1" applyBorder="1" applyAlignment="1" applyProtection="1">
      <alignment horizontal="center" vertical="center"/>
      <protection/>
    </xf>
    <xf numFmtId="3" fontId="53" fillId="0" borderId="25" xfId="35" applyNumberFormat="1" applyFont="1" applyFill="1" applyBorder="1" applyAlignment="1" applyProtection="1">
      <alignment horizontal="center" vertical="center"/>
      <protection/>
    </xf>
    <xf numFmtId="3" fontId="53" fillId="0" borderId="70" xfId="35" applyNumberFormat="1" applyFont="1" applyFill="1" applyBorder="1" applyAlignment="1" applyProtection="1">
      <alignment horizontal="center" vertical="center"/>
      <protection/>
    </xf>
    <xf numFmtId="3" fontId="53" fillId="0" borderId="71" xfId="35" applyNumberFormat="1" applyFont="1" applyFill="1" applyBorder="1" applyAlignment="1" applyProtection="1">
      <alignment horizontal="center" vertical="center"/>
      <protection/>
    </xf>
    <xf numFmtId="3" fontId="53" fillId="0" borderId="23" xfId="35" applyNumberFormat="1" applyFont="1" applyFill="1" applyBorder="1" applyAlignment="1" applyProtection="1">
      <alignment horizontal="center" vertical="center"/>
      <protection/>
    </xf>
    <xf numFmtId="10" fontId="53" fillId="0" borderId="69" xfId="35" applyNumberFormat="1" applyFont="1" applyFill="1" applyBorder="1" applyAlignment="1" applyProtection="1">
      <alignment horizontal="center" vertical="center"/>
      <protection/>
    </xf>
    <xf numFmtId="10" fontId="53" fillId="0" borderId="25" xfId="35" applyNumberFormat="1" applyFont="1" applyFill="1" applyBorder="1" applyAlignment="1" applyProtection="1">
      <alignment horizontal="center" vertical="center"/>
      <protection/>
    </xf>
    <xf numFmtId="10" fontId="53" fillId="0" borderId="70" xfId="35" applyNumberFormat="1" applyFont="1" applyFill="1" applyBorder="1" applyAlignment="1" applyProtection="1">
      <alignment horizontal="center" vertical="center"/>
      <protection/>
    </xf>
    <xf numFmtId="10" fontId="53" fillId="0" borderId="23" xfId="35" applyNumberFormat="1" applyFont="1" applyFill="1" applyBorder="1" applyAlignment="1" applyProtection="1">
      <alignment horizontal="center" vertical="center"/>
      <protection/>
    </xf>
    <xf numFmtId="3" fontId="53" fillId="0" borderId="21" xfId="35" applyNumberFormat="1" applyFont="1" applyFill="1" applyBorder="1" applyAlignment="1" applyProtection="1">
      <alignment horizontal="center" vertical="center"/>
      <protection locked="0"/>
    </xf>
    <xf numFmtId="3" fontId="53" fillId="0" borderId="20" xfId="35" applyNumberFormat="1" applyFont="1" applyFill="1" applyBorder="1" applyAlignment="1" applyProtection="1">
      <alignment horizontal="center" vertical="center"/>
      <protection locked="0"/>
    </xf>
    <xf numFmtId="4" fontId="53" fillId="0" borderId="44" xfId="35" applyNumberFormat="1" applyFont="1" applyFill="1" applyBorder="1" applyAlignment="1" applyProtection="1">
      <alignment horizontal="center" vertical="center"/>
      <protection/>
    </xf>
    <xf numFmtId="4" fontId="53" fillId="0" borderId="21" xfId="35" applyNumberFormat="1" applyFont="1" applyFill="1" applyBorder="1" applyAlignment="1" applyProtection="1">
      <alignment horizontal="center" vertical="center" wrapText="1"/>
      <protection locked="0"/>
    </xf>
    <xf numFmtId="4" fontId="53" fillId="0" borderId="20" xfId="35" applyNumberFormat="1" applyFont="1" applyFill="1" applyBorder="1" applyAlignment="1" applyProtection="1">
      <alignment horizontal="center" vertical="center" wrapText="1"/>
      <protection locked="0"/>
    </xf>
    <xf numFmtId="3" fontId="55" fillId="0" borderId="0" xfId="64" applyNumberFormat="1" applyFont="1" applyFill="1" applyBorder="1" applyAlignment="1">
      <alignment horizontal="left" vertical="center"/>
      <protection/>
    </xf>
    <xf numFmtId="3" fontId="13" fillId="0" borderId="0" xfId="64" applyNumberFormat="1" applyFont="1" applyAlignment="1">
      <alignment horizontal="center" vertical="center" wrapText="1"/>
      <protection/>
    </xf>
    <xf numFmtId="3" fontId="54" fillId="0" borderId="54" xfId="64" applyNumberFormat="1" applyFont="1" applyBorder="1" applyAlignment="1">
      <alignment horizontal="center" vertical="center" wrapText="1"/>
      <protection/>
    </xf>
    <xf numFmtId="0" fontId="13" fillId="0" borderId="13" xfId="64" applyFont="1" applyBorder="1" applyAlignment="1">
      <alignment horizontal="center" vertical="center" wrapText="1"/>
      <protection/>
    </xf>
    <xf numFmtId="0" fontId="13" fillId="0" borderId="50" xfId="64" applyFont="1" applyBorder="1" applyAlignment="1">
      <alignment horizontal="center" vertical="center" wrapText="1"/>
      <protection/>
    </xf>
    <xf numFmtId="3" fontId="54" fillId="0" borderId="37" xfId="64" applyNumberFormat="1" applyFont="1" applyBorder="1" applyAlignment="1">
      <alignment horizontal="center" vertical="center" wrapText="1"/>
      <protection/>
    </xf>
    <xf numFmtId="3" fontId="54" fillId="0" borderId="38" xfId="64" applyNumberFormat="1" applyFont="1" applyBorder="1" applyAlignment="1">
      <alignment horizontal="center" vertical="center" wrapText="1"/>
      <protection/>
    </xf>
    <xf numFmtId="3" fontId="54" fillId="0" borderId="62" xfId="64" applyNumberFormat="1" applyFont="1" applyBorder="1" applyAlignment="1">
      <alignment horizontal="center" vertical="center" wrapText="1"/>
      <protection/>
    </xf>
    <xf numFmtId="3" fontId="54" fillId="0" borderId="55" xfId="64" applyNumberFormat="1" applyFont="1" applyFill="1" applyBorder="1" applyAlignment="1">
      <alignment horizontal="center" vertical="center" wrapText="1"/>
      <protection/>
    </xf>
    <xf numFmtId="3" fontId="54" fillId="0" borderId="57" xfId="64" applyNumberFormat="1" applyFont="1" applyFill="1" applyBorder="1" applyAlignment="1">
      <alignment horizontal="center" vertical="center" wrapText="1"/>
      <protection/>
    </xf>
    <xf numFmtId="3" fontId="54" fillId="0" borderId="56" xfId="64" applyNumberFormat="1" applyFont="1" applyFill="1" applyBorder="1" applyAlignment="1">
      <alignment horizontal="center" vertical="center" wrapText="1"/>
      <protection/>
    </xf>
    <xf numFmtId="3" fontId="54" fillId="0" borderId="59" xfId="64" applyNumberFormat="1" applyFont="1" applyFill="1" applyBorder="1" applyAlignment="1">
      <alignment horizontal="center" vertical="center" wrapText="1"/>
      <protection/>
    </xf>
    <xf numFmtId="3" fontId="54" fillId="0" borderId="63" xfId="64" applyNumberFormat="1" applyFont="1" applyFill="1" applyBorder="1" applyAlignment="1">
      <alignment horizontal="center" vertical="center" wrapText="1"/>
      <protection/>
    </xf>
    <xf numFmtId="3" fontId="54" fillId="0" borderId="60" xfId="64" applyNumberFormat="1" applyFont="1" applyFill="1" applyBorder="1" applyAlignment="1">
      <alignment horizontal="center" vertical="center" wrapText="1"/>
      <protection/>
    </xf>
    <xf numFmtId="0" fontId="61" fillId="3" borderId="55" xfId="64" applyFont="1" applyFill="1" applyBorder="1" applyAlignment="1">
      <alignment horizontal="center" vertical="center" wrapText="1"/>
      <protection/>
    </xf>
    <xf numFmtId="0" fontId="61" fillId="3" borderId="56" xfId="64" applyFont="1" applyFill="1" applyBorder="1" applyAlignment="1">
      <alignment horizontal="center" vertical="center" wrapText="1"/>
      <protection/>
    </xf>
    <xf numFmtId="0" fontId="61" fillId="3" borderId="58" xfId="64" applyFont="1" applyFill="1" applyBorder="1" applyAlignment="1">
      <alignment horizontal="center" vertical="center" wrapText="1"/>
      <protection/>
    </xf>
    <xf numFmtId="0" fontId="61" fillId="3" borderId="16" xfId="64" applyFont="1" applyFill="1" applyBorder="1" applyAlignment="1">
      <alignment horizontal="center" vertical="center" wrapText="1"/>
      <protection/>
    </xf>
    <xf numFmtId="0" fontId="61" fillId="3" borderId="59" xfId="64" applyFont="1" applyFill="1" applyBorder="1" applyAlignment="1">
      <alignment horizontal="center" vertical="center" wrapText="1"/>
      <protection/>
    </xf>
    <xf numFmtId="0" fontId="61" fillId="3" borderId="60" xfId="64" applyFont="1" applyFill="1" applyBorder="1" applyAlignment="1">
      <alignment horizontal="center" vertical="center" wrapText="1"/>
      <protection/>
    </xf>
    <xf numFmtId="3" fontId="54" fillId="0" borderId="13" xfId="64" applyNumberFormat="1" applyFont="1" applyBorder="1" applyAlignment="1">
      <alignment horizontal="center" vertical="center" wrapText="1"/>
      <protection/>
    </xf>
    <xf numFmtId="0" fontId="61" fillId="3" borderId="54" xfId="64" applyFont="1" applyFill="1" applyBorder="1" applyAlignment="1">
      <alignment horizontal="center" vertical="center" wrapText="1"/>
      <protection/>
    </xf>
    <xf numFmtId="0" fontId="61" fillId="3" borderId="13" xfId="64" applyFont="1" applyFill="1" applyBorder="1" applyAlignment="1">
      <alignment horizontal="center" vertical="center" wrapText="1"/>
      <protection/>
    </xf>
    <xf numFmtId="0" fontId="61" fillId="3" borderId="50" xfId="64" applyFont="1" applyFill="1" applyBorder="1" applyAlignment="1">
      <alignment horizontal="center" vertical="center" wrapText="1"/>
      <protection/>
    </xf>
    <xf numFmtId="3" fontId="54" fillId="0" borderId="55" xfId="64" applyNumberFormat="1" applyFont="1" applyBorder="1" applyAlignment="1">
      <alignment horizontal="center" vertical="center" wrapText="1"/>
      <protection/>
    </xf>
    <xf numFmtId="3" fontId="54" fillId="0" borderId="57" xfId="64" applyNumberFormat="1" applyFont="1" applyBorder="1" applyAlignment="1">
      <alignment horizontal="center" vertical="center" wrapText="1"/>
      <protection/>
    </xf>
    <xf numFmtId="3" fontId="54" fillId="0" borderId="56" xfId="64" applyNumberFormat="1" applyFont="1" applyBorder="1" applyAlignment="1">
      <alignment horizontal="center" vertical="center" wrapText="1"/>
      <protection/>
    </xf>
    <xf numFmtId="3" fontId="54" fillId="0" borderId="50" xfId="64" applyNumberFormat="1" applyFont="1" applyBorder="1" applyAlignment="1">
      <alignment horizontal="center" vertical="center" wrapText="1"/>
      <protection/>
    </xf>
    <xf numFmtId="3" fontId="54" fillId="0" borderId="59" xfId="64" applyNumberFormat="1" applyFont="1" applyBorder="1" applyAlignment="1">
      <alignment horizontal="center" vertical="center" wrapText="1"/>
      <protection/>
    </xf>
    <xf numFmtId="0" fontId="13" fillId="0" borderId="38" xfId="64" applyFont="1" applyBorder="1" applyAlignment="1">
      <alignment horizontal="center" vertical="center" wrapText="1"/>
      <protection/>
    </xf>
    <xf numFmtId="0" fontId="13" fillId="0" borderId="62" xfId="64" applyFont="1" applyBorder="1" applyAlignment="1">
      <alignment horizontal="center" vertical="center" wrapText="1"/>
      <protection/>
    </xf>
    <xf numFmtId="3" fontId="54" fillId="0" borderId="58" xfId="64" applyNumberFormat="1" applyFont="1" applyBorder="1" applyAlignment="1">
      <alignment horizontal="center" vertical="center" wrapText="1"/>
      <protection/>
    </xf>
    <xf numFmtId="0" fontId="13" fillId="0" borderId="59" xfId="64" applyFont="1" applyBorder="1" applyAlignment="1">
      <alignment horizontal="center" vertical="center" wrapText="1"/>
      <protection/>
    </xf>
    <xf numFmtId="3" fontId="54" fillId="0" borderId="30" xfId="64" applyNumberFormat="1" applyFont="1" applyBorder="1" applyAlignment="1">
      <alignment horizontal="center" vertical="center" wrapText="1"/>
      <protection/>
    </xf>
    <xf numFmtId="3" fontId="54" fillId="0" borderId="39" xfId="64" applyNumberFormat="1" applyFont="1" applyBorder="1" applyAlignment="1">
      <alignment horizontal="center" vertical="center" wrapText="1"/>
      <protection/>
    </xf>
    <xf numFmtId="3" fontId="54" fillId="0" borderId="37" xfId="64" applyNumberFormat="1" applyFont="1" applyBorder="1" applyAlignment="1">
      <alignment horizontal="center" vertical="center"/>
      <protection/>
    </xf>
    <xf numFmtId="3" fontId="54" fillId="0" borderId="38" xfId="64" applyNumberFormat="1" applyFont="1" applyBorder="1" applyAlignment="1">
      <alignment horizontal="center" vertical="center"/>
      <protection/>
    </xf>
    <xf numFmtId="3" fontId="54" fillId="0" borderId="62" xfId="64" applyNumberFormat="1" applyFont="1" applyBorder="1" applyAlignment="1">
      <alignment horizontal="center" vertical="center"/>
      <protection/>
    </xf>
    <xf numFmtId="0" fontId="49" fillId="0" borderId="10" xfId="64" applyFont="1" applyFill="1" applyBorder="1" applyAlignment="1" applyProtection="1">
      <alignment horizontal="center" vertical="center" wrapText="1"/>
      <protection/>
    </xf>
    <xf numFmtId="0" fontId="13" fillId="0" borderId="10" xfId="64" applyFont="1" applyBorder="1" applyAlignment="1" applyProtection="1">
      <alignment horizontal="center" vertical="center" wrapText="1"/>
      <protection locked="0"/>
    </xf>
    <xf numFmtId="0" fontId="49" fillId="0" borderId="10" xfId="64" applyFont="1" applyFill="1" applyBorder="1" applyAlignment="1" applyProtection="1">
      <alignment horizontal="center" vertical="center"/>
      <protection/>
    </xf>
    <xf numFmtId="0" fontId="18" fillId="0" borderId="10" xfId="64" applyFont="1" applyFill="1" applyBorder="1" applyAlignment="1" applyProtection="1">
      <alignment horizontal="center" vertical="center"/>
      <protection/>
    </xf>
    <xf numFmtId="0" fontId="53" fillId="0" borderId="10" xfId="64" applyFont="1" applyBorder="1" applyAlignment="1" applyProtection="1">
      <alignment horizontal="center" vertical="center" wrapText="1"/>
      <protection/>
    </xf>
    <xf numFmtId="0" fontId="53" fillId="0" borderId="10" xfId="64" applyFont="1" applyFill="1" applyBorder="1" applyAlignment="1" applyProtection="1">
      <alignment horizontal="center" vertical="center" wrapText="1"/>
      <protection locked="0"/>
    </xf>
    <xf numFmtId="0" fontId="49" fillId="0" borderId="10" xfId="64" applyNumberFormat="1" applyFont="1" applyFill="1" applyBorder="1" applyAlignment="1" applyProtection="1">
      <alignment horizontal="center" vertical="center" wrapText="1"/>
      <protection/>
    </xf>
    <xf numFmtId="0" fontId="53" fillId="0" borderId="10" xfId="64" applyNumberFormat="1" applyFont="1" applyBorder="1" applyAlignment="1" applyProtection="1">
      <alignment horizontal="center" vertical="center" wrapText="1"/>
      <protection/>
    </xf>
    <xf numFmtId="0" fontId="18" fillId="0" borderId="10" xfId="64" applyFont="1" applyFill="1" applyBorder="1" applyAlignment="1" applyProtection="1">
      <alignment horizontal="center" vertical="center" wrapText="1"/>
      <protection/>
    </xf>
    <xf numFmtId="0" fontId="49" fillId="0" borderId="10" xfId="71" applyFont="1" applyFill="1" applyBorder="1" applyAlignment="1" applyProtection="1">
      <alignment horizontal="center" vertical="center" wrapText="1"/>
      <protection/>
    </xf>
    <xf numFmtId="49" fontId="13" fillId="0" borderId="21" xfId="35" applyNumberFormat="1" applyFont="1" applyBorder="1" applyAlignment="1">
      <alignment horizontal="center" vertical="center" wrapText="1"/>
      <protection/>
    </xf>
    <xf numFmtId="0" fontId="13" fillId="0" borderId="20" xfId="0" applyFont="1" applyBorder="1" applyAlignment="1">
      <alignment horizontal="center" vertical="center" wrapText="1"/>
    </xf>
    <xf numFmtId="0" fontId="13" fillId="0" borderId="21" xfId="35" applyFont="1" applyBorder="1" applyAlignment="1" applyProtection="1">
      <alignment horizontal="left" vertical="center" wrapText="1"/>
      <protection locked="0"/>
    </xf>
    <xf numFmtId="0" fontId="13" fillId="0" borderId="20" xfId="35" applyFont="1" applyBorder="1" applyAlignment="1">
      <alignment vertical="center" wrapText="1"/>
      <protection/>
    </xf>
    <xf numFmtId="0" fontId="13" fillId="0" borderId="21" xfId="35" applyFont="1" applyBorder="1" applyAlignment="1" applyProtection="1">
      <alignment horizontal="center" vertical="center" wrapText="1"/>
      <protection locked="0"/>
    </xf>
    <xf numFmtId="0" fontId="13" fillId="0" borderId="20" xfId="35" applyFont="1" applyBorder="1" applyAlignment="1" applyProtection="1">
      <alignment horizontal="center" vertical="center" wrapText="1"/>
      <protection locked="0"/>
    </xf>
    <xf numFmtId="0" fontId="13" fillId="0" borderId="20" xfId="35" applyFont="1" applyBorder="1" applyAlignment="1">
      <alignment horizontal="center" vertical="center" wrapText="1"/>
      <protection/>
    </xf>
    <xf numFmtId="1" fontId="13" fillId="0" borderId="21" xfId="35" applyNumberFormat="1" applyFont="1" applyFill="1" applyBorder="1" applyAlignment="1" applyProtection="1">
      <alignment horizontal="center" vertical="center" wrapText="1"/>
      <protection locked="0"/>
    </xf>
    <xf numFmtId="0" fontId="13" fillId="0" borderId="21" xfId="35" applyFont="1" applyBorder="1" applyAlignment="1">
      <alignment horizontal="center" vertical="center"/>
      <protection/>
    </xf>
    <xf numFmtId="0" fontId="13" fillId="0" borderId="20" xfId="35" applyFont="1" applyBorder="1" applyAlignment="1">
      <alignment horizontal="center" vertical="center"/>
      <protection/>
    </xf>
    <xf numFmtId="1" fontId="13" fillId="0" borderId="0" xfId="71" applyNumberFormat="1" applyFont="1" applyFill="1" applyBorder="1" applyAlignment="1" applyProtection="1">
      <alignment horizontal="left" vertical="center"/>
      <protection locked="0"/>
    </xf>
    <xf numFmtId="0" fontId="13" fillId="0" borderId="0" xfId="0" applyFont="1" applyBorder="1" applyAlignment="1">
      <alignment horizontal="left" vertical="center"/>
    </xf>
    <xf numFmtId="1" fontId="13" fillId="0" borderId="0" xfId="71" applyNumberFormat="1" applyFont="1" applyAlignment="1" applyProtection="1">
      <alignment horizontal="left" vertical="center" wrapText="1"/>
      <protection locked="0"/>
    </xf>
    <xf numFmtId="0" fontId="13" fillId="0" borderId="0" xfId="0" applyFont="1" applyAlignment="1">
      <alignment vertical="center" wrapText="1"/>
    </xf>
    <xf numFmtId="0" fontId="13" fillId="0" borderId="21" xfId="64" applyFont="1" applyBorder="1" applyAlignment="1">
      <alignment horizontal="center" vertical="center"/>
      <protection/>
    </xf>
    <xf numFmtId="0" fontId="13" fillId="0" borderId="20" xfId="64" applyFont="1" applyBorder="1" applyAlignment="1">
      <alignment horizontal="center" vertical="center"/>
      <protection/>
    </xf>
    <xf numFmtId="0" fontId="13" fillId="0" borderId="21" xfId="35" applyFont="1" applyFill="1" applyBorder="1" applyAlignment="1" applyProtection="1">
      <alignment horizontal="center" vertical="center" wrapText="1"/>
      <protection locked="0"/>
    </xf>
    <xf numFmtId="0" fontId="13" fillId="0" borderId="20" xfId="35" applyFont="1" applyFill="1" applyBorder="1" applyAlignment="1" applyProtection="1">
      <alignment horizontal="center" vertical="center" wrapText="1"/>
      <protection locked="0"/>
    </xf>
    <xf numFmtId="0" fontId="13" fillId="0" borderId="21" xfId="71" applyFont="1" applyBorder="1" applyAlignment="1" applyProtection="1">
      <alignment horizontal="center" vertical="center" wrapText="1"/>
      <protection locked="0"/>
    </xf>
    <xf numFmtId="0" fontId="13" fillId="0" borderId="20" xfId="71" applyFont="1" applyBorder="1" applyAlignment="1" applyProtection="1">
      <alignment horizontal="center" vertical="center" wrapText="1"/>
      <protection locked="0"/>
    </xf>
    <xf numFmtId="0" fontId="13" fillId="0" borderId="10" xfId="71" applyFont="1" applyFill="1" applyBorder="1" applyAlignment="1" applyProtection="1">
      <alignment horizontal="left" vertical="center" wrapText="1"/>
      <protection locked="0"/>
    </xf>
    <xf numFmtId="0" fontId="13" fillId="0" borderId="53" xfId="71" applyFont="1" applyFill="1" applyBorder="1" applyAlignment="1" applyProtection="1">
      <alignment horizontal="left" vertical="center" wrapText="1"/>
      <protection locked="0"/>
    </xf>
    <xf numFmtId="0" fontId="13" fillId="0" borderId="11" xfId="71" applyFont="1" applyFill="1" applyBorder="1" applyAlignment="1" applyProtection="1">
      <alignment horizontal="left" vertical="center" wrapText="1"/>
      <protection locked="0"/>
    </xf>
    <xf numFmtId="3" fontId="13" fillId="0" borderId="10" xfId="71" applyNumberFormat="1" applyFont="1" applyFill="1" applyBorder="1" applyAlignment="1" applyProtection="1">
      <alignment horizontal="center" vertical="center" wrapText="1"/>
      <protection locked="0"/>
    </xf>
    <xf numFmtId="0" fontId="53" fillId="0" borderId="10" xfId="71" applyFont="1" applyFill="1" applyBorder="1" applyAlignment="1" applyProtection="1">
      <alignment horizontal="center" vertical="center" wrapText="1"/>
      <protection/>
    </xf>
    <xf numFmtId="0" fontId="53" fillId="0" borderId="10" xfId="71" applyFont="1" applyFill="1" applyBorder="1" applyAlignment="1">
      <alignment horizontal="center" vertical="center" wrapText="1"/>
      <protection/>
    </xf>
    <xf numFmtId="1" fontId="13" fillId="0" borderId="53" xfId="64" applyNumberFormat="1" applyFont="1" applyBorder="1" applyAlignment="1" applyProtection="1">
      <alignment horizontal="left" vertical="center" wrapText="1"/>
      <protection locked="0"/>
    </xf>
    <xf numFmtId="1" fontId="13" fillId="0" borderId="44" xfId="64" applyNumberFormat="1" applyFont="1" applyBorder="1" applyAlignment="1" applyProtection="1">
      <alignment horizontal="left" vertical="center" wrapText="1"/>
      <protection locked="0"/>
    </xf>
    <xf numFmtId="1" fontId="13" fillId="0" borderId="11" xfId="64" applyNumberFormat="1" applyFont="1" applyBorder="1" applyAlignment="1" applyProtection="1">
      <alignment horizontal="left" vertical="center" wrapText="1"/>
      <protection locked="0"/>
    </xf>
    <xf numFmtId="0" fontId="49" fillId="0" borderId="10" xfId="68" applyFont="1" applyFill="1" applyBorder="1" applyAlignment="1" applyProtection="1">
      <alignment horizontal="center" vertical="center" wrapText="1"/>
      <protection/>
    </xf>
    <xf numFmtId="0" fontId="53" fillId="0" borderId="10" xfId="68" applyFont="1" applyFill="1" applyBorder="1" applyAlignment="1">
      <alignment horizontal="center" vertical="center" wrapText="1"/>
      <protection/>
    </xf>
    <xf numFmtId="49" fontId="53" fillId="0" borderId="10" xfId="68" applyNumberFormat="1" applyFont="1" applyFill="1" applyBorder="1" applyAlignment="1">
      <alignment horizontal="center" vertical="center" wrapText="1"/>
      <protection/>
    </xf>
    <xf numFmtId="49" fontId="53" fillId="0" borderId="10" xfId="68" applyNumberFormat="1" applyFont="1" applyFill="1" applyBorder="1" applyAlignment="1">
      <alignment horizontal="center" vertical="top"/>
      <protection/>
    </xf>
    <xf numFmtId="49" fontId="53" fillId="0" borderId="10" xfId="68" applyNumberFormat="1" applyFont="1" applyFill="1" applyBorder="1" applyAlignment="1">
      <alignment vertical="center" wrapText="1" shrinkToFit="1"/>
      <protection/>
    </xf>
    <xf numFmtId="1" fontId="53" fillId="0" borderId="44" xfId="68" applyNumberFormat="1" applyFont="1" applyFill="1" applyBorder="1" applyAlignment="1">
      <alignment horizontal="center" vertical="center" wrapText="1"/>
      <protection/>
    </xf>
    <xf numFmtId="1" fontId="53" fillId="0" borderId="11" xfId="68" applyNumberFormat="1" applyFont="1" applyFill="1" applyBorder="1" applyAlignment="1">
      <alignment horizontal="center" vertical="center" wrapText="1"/>
      <protection/>
    </xf>
    <xf numFmtId="0" fontId="53" fillId="0" borderId="0" xfId="68" applyFont="1">
      <alignment/>
      <protection/>
    </xf>
    <xf numFmtId="0" fontId="66" fillId="0" borderId="10" xfId="36" applyFont="1" applyBorder="1" applyAlignment="1">
      <alignment horizontal="center" vertical="center" wrapText="1"/>
      <protection/>
    </xf>
    <xf numFmtId="0" fontId="55" fillId="0" borderId="10" xfId="36" applyFont="1" applyFill="1" applyBorder="1" applyAlignment="1">
      <alignment horizontal="center" vertical="center" wrapText="1"/>
      <protection/>
    </xf>
    <xf numFmtId="0" fontId="66" fillId="0" borderId="21" xfId="36" applyFont="1" applyBorder="1" applyAlignment="1">
      <alignment horizontal="center" vertical="center" wrapText="1"/>
      <protection/>
    </xf>
    <xf numFmtId="0" fontId="66" fillId="0" borderId="20" xfId="36" applyFont="1" applyBorder="1" applyAlignment="1">
      <alignment horizontal="center" vertical="center" wrapText="1"/>
      <protection/>
    </xf>
    <xf numFmtId="0" fontId="49" fillId="0" borderId="10" xfId="68" applyFont="1" applyFill="1" applyBorder="1" applyAlignment="1">
      <alignment horizontal="center" vertical="center" wrapText="1"/>
      <protection/>
    </xf>
    <xf numFmtId="0" fontId="53" fillId="0" borderId="10" xfId="68" applyFont="1" applyBorder="1" applyAlignment="1">
      <alignment horizontal="center" vertical="center" wrapText="1"/>
      <protection/>
    </xf>
    <xf numFmtId="0" fontId="53" fillId="0" borderId="53" xfId="68" applyFont="1" applyBorder="1" applyAlignment="1">
      <alignment horizontal="center" vertical="center" wrapText="1"/>
      <protection/>
    </xf>
    <xf numFmtId="0" fontId="53" fillId="0" borderId="44" xfId="68" applyFont="1" applyBorder="1" applyAlignment="1">
      <alignment horizontal="center" vertical="center" wrapText="1"/>
      <protection/>
    </xf>
    <xf numFmtId="0" fontId="53" fillId="0" borderId="11" xfId="68" applyFont="1" applyBorder="1" applyAlignment="1">
      <alignment horizontal="center" vertical="center" wrapText="1"/>
      <protection/>
    </xf>
    <xf numFmtId="0" fontId="13" fillId="0" borderId="0" xfId="35" applyFont="1" applyAlignment="1">
      <alignment horizontal="left" wrapText="1"/>
      <protection/>
    </xf>
    <xf numFmtId="0" fontId="53" fillId="0" borderId="21" xfId="35" applyFont="1" applyBorder="1" applyAlignment="1" applyProtection="1">
      <alignment horizontal="center" vertical="center" wrapText="1"/>
      <protection/>
    </xf>
    <xf numFmtId="0" fontId="53" fillId="0" borderId="19" xfId="35" applyFont="1" applyBorder="1" applyAlignment="1" applyProtection="1">
      <alignment horizontal="center" vertical="center" wrapText="1"/>
      <protection/>
    </xf>
    <xf numFmtId="0" fontId="53" fillId="0" borderId="20" xfId="35" applyFont="1" applyBorder="1" applyAlignment="1" applyProtection="1">
      <alignment horizontal="center" vertical="center" wrapText="1"/>
      <protection/>
    </xf>
    <xf numFmtId="0" fontId="53" fillId="0" borderId="0" xfId="35" applyFont="1" applyFill="1" applyBorder="1" applyAlignment="1" applyProtection="1">
      <alignment horizontal="center"/>
      <protection/>
    </xf>
    <xf numFmtId="0" fontId="53" fillId="0" borderId="10" xfId="35" applyFont="1" applyBorder="1" applyAlignment="1" applyProtection="1">
      <alignment horizontal="center" vertical="center" wrapText="1"/>
      <protection/>
    </xf>
    <xf numFmtId="0" fontId="53" fillId="0" borderId="10" xfId="35" applyFont="1" applyFill="1" applyBorder="1" applyAlignment="1" applyProtection="1">
      <alignment horizontal="center"/>
      <protection/>
    </xf>
    <xf numFmtId="0" fontId="53" fillId="0" borderId="10" xfId="35" applyFont="1" applyFill="1" applyBorder="1" applyAlignment="1">
      <alignment horizontal="center"/>
      <protection/>
    </xf>
    <xf numFmtId="0" fontId="49" fillId="2" borderId="53" xfId="35" applyFont="1" applyFill="1" applyBorder="1" applyAlignment="1">
      <alignment horizontal="center" vertical="center"/>
      <protection/>
    </xf>
    <xf numFmtId="0" fontId="49" fillId="2" borderId="44" xfId="35" applyFont="1" applyFill="1" applyBorder="1" applyAlignment="1">
      <alignment horizontal="center" vertical="center"/>
      <protection/>
    </xf>
    <xf numFmtId="0" fontId="49" fillId="2" borderId="11" xfId="35" applyFont="1" applyFill="1" applyBorder="1" applyAlignment="1">
      <alignment horizontal="center" vertical="center"/>
      <protection/>
    </xf>
    <xf numFmtId="0" fontId="53" fillId="0" borderId="69" xfId="35" applyFont="1" applyBorder="1" applyAlignment="1" applyProtection="1">
      <alignment horizontal="center" vertical="center" wrapText="1"/>
      <protection/>
    </xf>
    <xf numFmtId="0" fontId="53" fillId="0" borderId="25" xfId="35" applyFont="1" applyBorder="1" applyAlignment="1" applyProtection="1">
      <alignment horizontal="center" vertical="center" wrapText="1"/>
      <protection/>
    </xf>
    <xf numFmtId="0" fontId="53" fillId="0" borderId="70" xfId="35" applyFont="1" applyBorder="1" applyAlignment="1" applyProtection="1">
      <alignment horizontal="center" vertical="center" wrapText="1"/>
      <protection/>
    </xf>
    <xf numFmtId="0" fontId="53" fillId="0" borderId="23" xfId="35" applyFont="1" applyBorder="1" applyAlignment="1" applyProtection="1">
      <alignment horizontal="center" vertical="center" wrapText="1"/>
      <protection/>
    </xf>
    <xf numFmtId="0" fontId="53" fillId="0" borderId="53" xfId="35" applyFont="1" applyFill="1" applyBorder="1" applyAlignment="1" applyProtection="1">
      <alignment horizontal="center"/>
      <protection/>
    </xf>
    <xf numFmtId="0" fontId="53" fillId="0" borderId="44" xfId="35" applyFont="1" applyFill="1" applyBorder="1" applyAlignment="1" applyProtection="1">
      <alignment horizontal="center"/>
      <protection/>
    </xf>
    <xf numFmtId="0" fontId="53" fillId="0" borderId="11" xfId="35" applyFont="1" applyFill="1" applyBorder="1" applyAlignment="1" applyProtection="1">
      <alignment horizontal="center"/>
      <protection/>
    </xf>
    <xf numFmtId="0" fontId="38" fillId="0" borderId="53" xfId="35" applyFont="1" applyFill="1" applyBorder="1" applyAlignment="1">
      <alignment horizontal="center"/>
      <protection/>
    </xf>
    <xf numFmtId="0" fontId="38" fillId="0" borderId="44" xfId="35" applyFont="1" applyFill="1" applyBorder="1" applyAlignment="1">
      <alignment horizontal="center"/>
      <protection/>
    </xf>
    <xf numFmtId="0" fontId="38" fillId="0" borderId="11" xfId="35" applyFont="1" applyFill="1" applyBorder="1" applyAlignment="1">
      <alignment horizontal="center"/>
      <protection/>
    </xf>
    <xf numFmtId="0" fontId="53" fillId="2" borderId="0" xfId="35" applyFont="1" applyFill="1" applyBorder="1" applyAlignment="1" applyProtection="1">
      <alignment horizontal="left"/>
      <protection/>
    </xf>
    <xf numFmtId="0" fontId="53" fillId="2" borderId="10" xfId="35" applyFont="1" applyFill="1" applyBorder="1" applyAlignment="1">
      <alignment horizontal="center"/>
      <protection/>
    </xf>
    <xf numFmtId="0" fontId="53" fillId="0" borderId="53" xfId="35" applyNumberFormat="1" applyFont="1" applyFill="1" applyBorder="1" applyAlignment="1" applyProtection="1">
      <alignment horizontal="center" vertical="center" wrapText="1"/>
      <protection/>
    </xf>
    <xf numFmtId="0" fontId="53" fillId="0" borderId="11" xfId="35" applyNumberFormat="1" applyFont="1" applyFill="1" applyBorder="1" applyAlignment="1" applyProtection="1">
      <alignment horizontal="center" vertical="center" wrapText="1"/>
      <protection/>
    </xf>
    <xf numFmtId="0" fontId="49" fillId="9" borderId="10" xfId="35" applyFont="1" applyFill="1" applyBorder="1" applyAlignment="1" applyProtection="1">
      <alignment horizontal="center" vertical="center" wrapText="1"/>
      <protection/>
    </xf>
    <xf numFmtId="0" fontId="53" fillId="0" borderId="10" xfId="35" applyFont="1" applyFill="1" applyBorder="1" applyAlignment="1" applyProtection="1">
      <alignment horizontal="center" vertical="center"/>
      <protection/>
    </xf>
    <xf numFmtId="0" fontId="53" fillId="0" borderId="10" xfId="35" applyFont="1" applyFill="1" applyBorder="1" applyAlignment="1" applyProtection="1">
      <alignment horizontal="center" vertical="center" wrapText="1"/>
      <protection locked="0"/>
    </xf>
    <xf numFmtId="0" fontId="53" fillId="0" borderId="10" xfId="35" applyFont="1" applyBorder="1" applyAlignment="1" applyProtection="1">
      <alignment horizontal="center" vertical="center"/>
      <protection/>
    </xf>
    <xf numFmtId="0" fontId="53" fillId="0" borderId="10" xfId="35" applyFont="1" applyFill="1" applyBorder="1" applyAlignment="1" applyProtection="1">
      <alignment horizontal="center" vertical="center"/>
      <protection locked="0"/>
    </xf>
    <xf numFmtId="49" fontId="53" fillId="0" borderId="10" xfId="35" applyNumberFormat="1" applyFont="1" applyFill="1" applyBorder="1" applyAlignment="1" applyProtection="1">
      <alignment horizontal="center" vertical="center" wrapText="1"/>
      <protection/>
    </xf>
    <xf numFmtId="1" fontId="53" fillId="0" borderId="10" xfId="35" applyNumberFormat="1" applyFont="1" applyBorder="1" applyAlignment="1" applyProtection="1">
      <alignment horizontal="center" vertical="center" wrapText="1"/>
      <protection locked="0"/>
    </xf>
    <xf numFmtId="0" fontId="53" fillId="0" borderId="10" xfId="35" applyFont="1" applyBorder="1" applyAlignment="1" applyProtection="1">
      <alignment horizontal="center" vertical="center" wrapText="1"/>
      <protection locked="0"/>
    </xf>
    <xf numFmtId="0" fontId="53" fillId="0" borderId="10" xfId="35" applyFont="1" applyFill="1" applyBorder="1" applyAlignment="1" applyProtection="1">
      <alignment horizontal="center" vertical="center" wrapText="1"/>
      <protection/>
    </xf>
    <xf numFmtId="0" fontId="53" fillId="9" borderId="10" xfId="35" applyFont="1" applyFill="1" applyBorder="1" applyAlignment="1" applyProtection="1">
      <alignment horizontal="center" vertical="center" wrapText="1"/>
      <protection/>
    </xf>
    <xf numFmtId="0" fontId="53" fillId="0" borderId="10" xfId="35" applyFont="1" applyFill="1" applyBorder="1" applyAlignment="1" applyProtection="1">
      <alignment horizontal="left" vertical="center" wrapText="1"/>
      <protection/>
    </xf>
    <xf numFmtId="2" fontId="53" fillId="0" borderId="10" xfId="35" applyNumberFormat="1" applyFont="1" applyBorder="1" applyAlignment="1" applyProtection="1">
      <alignment horizontal="center" vertical="center" wrapText="1"/>
      <protection locked="0"/>
    </xf>
    <xf numFmtId="0" fontId="52" fillId="2" borderId="10" xfId="68" applyFont="1" applyFill="1" applyBorder="1" applyAlignment="1" applyProtection="1">
      <alignment horizontal="center" vertical="center" wrapText="1"/>
      <protection/>
    </xf>
    <xf numFmtId="0" fontId="52" fillId="2" borderId="10" xfId="68" applyFont="1" applyFill="1" applyBorder="1" applyAlignment="1" applyProtection="1">
      <alignment horizontal="center" vertical="center"/>
      <protection/>
    </xf>
    <xf numFmtId="0" fontId="53" fillId="2" borderId="10" xfId="68" applyFont="1" applyFill="1" applyBorder="1" applyAlignment="1" applyProtection="1">
      <alignment horizontal="center" vertical="center" wrapText="1"/>
      <protection locked="0"/>
    </xf>
    <xf numFmtId="0" fontId="38" fillId="2" borderId="10" xfId="68" applyFont="1" applyFill="1" applyBorder="1" applyAlignment="1" applyProtection="1">
      <alignment horizontal="center" vertical="center"/>
      <protection/>
    </xf>
    <xf numFmtId="4" fontId="38" fillId="2" borderId="10" xfId="68" applyNumberFormat="1" applyFont="1" applyFill="1" applyBorder="1" applyAlignment="1" applyProtection="1">
      <alignment horizontal="center" vertical="center" wrapText="1"/>
      <protection locked="0"/>
    </xf>
    <xf numFmtId="0" fontId="38" fillId="2" borderId="10" xfId="68" applyFont="1" applyFill="1" applyBorder="1" applyAlignment="1" applyProtection="1">
      <alignment horizontal="center" vertical="center" wrapText="1"/>
      <protection/>
    </xf>
    <xf numFmtId="4" fontId="38" fillId="2" borderId="10" xfId="68" applyNumberFormat="1" applyFont="1" applyFill="1" applyBorder="1" applyAlignment="1" applyProtection="1">
      <alignment horizontal="center" vertical="center" wrapText="1"/>
      <protection/>
    </xf>
    <xf numFmtId="0" fontId="38" fillId="2" borderId="10" xfId="68" applyFont="1" applyFill="1" applyBorder="1" applyAlignment="1" applyProtection="1">
      <alignment horizontal="center" vertical="center" wrapText="1"/>
      <protection locked="0"/>
    </xf>
    <xf numFmtId="0" fontId="63" fillId="2" borderId="67" xfId="68" applyFont="1" applyFill="1" applyBorder="1" applyAlignment="1" applyProtection="1">
      <alignment horizontal="left"/>
      <protection/>
    </xf>
    <xf numFmtId="49" fontId="69" fillId="2" borderId="10" xfId="35" applyNumberFormat="1" applyFont="1" applyFill="1" applyBorder="1" applyAlignment="1" applyProtection="1">
      <alignment horizontal="center" vertical="center" wrapText="1"/>
      <protection/>
    </xf>
    <xf numFmtId="4" fontId="53" fillId="0" borderId="10" xfId="35" applyNumberFormat="1" applyFont="1" applyFill="1" applyBorder="1" applyAlignment="1" applyProtection="1">
      <alignment horizontal="center" vertical="center" wrapText="1"/>
      <protection locked="0"/>
    </xf>
    <xf numFmtId="0" fontId="53" fillId="0" borderId="53" xfId="35" applyFont="1" applyFill="1" applyBorder="1" applyAlignment="1" applyProtection="1">
      <alignment horizontal="center" vertical="center" wrapText="1"/>
      <protection/>
    </xf>
    <xf numFmtId="0" fontId="53" fillId="0" borderId="11" xfId="35" applyFont="1" applyFill="1" applyBorder="1" applyAlignment="1" applyProtection="1">
      <alignment horizontal="center" vertical="center" wrapText="1"/>
      <protection/>
    </xf>
    <xf numFmtId="0" fontId="13" fillId="0" borderId="0" xfId="67" applyFont="1" applyAlignment="1" applyProtection="1">
      <alignment horizontal="left"/>
      <protection hidden="1"/>
    </xf>
    <xf numFmtId="0" fontId="49" fillId="0" borderId="53" xfId="68" applyFont="1" applyFill="1" applyBorder="1" applyAlignment="1">
      <alignment horizontal="center" vertical="center"/>
      <protection/>
    </xf>
    <xf numFmtId="0" fontId="49" fillId="0" borderId="44" xfId="68" applyFont="1" applyFill="1" applyBorder="1" applyAlignment="1">
      <alignment horizontal="center" vertical="center"/>
      <protection/>
    </xf>
    <xf numFmtId="0" fontId="49" fillId="0" borderId="11" xfId="68" applyFont="1" applyFill="1" applyBorder="1" applyAlignment="1">
      <alignment horizontal="center" vertical="center"/>
      <protection/>
    </xf>
    <xf numFmtId="0" fontId="56" fillId="0" borderId="10" xfId="68" applyFont="1" applyBorder="1" applyAlignment="1">
      <alignment horizontal="left" wrapText="1"/>
      <protection/>
    </xf>
    <xf numFmtId="0" fontId="56" fillId="0" borderId="10" xfId="68" applyFont="1" applyBorder="1" applyAlignment="1">
      <alignment horizontal="left"/>
      <protection/>
    </xf>
    <xf numFmtId="0" fontId="56" fillId="0" borderId="53" xfId="68" applyFont="1" applyBorder="1" applyAlignment="1">
      <alignment horizontal="left"/>
      <protection/>
    </xf>
    <xf numFmtId="0" fontId="56" fillId="0" borderId="44" xfId="68" applyFont="1" applyBorder="1" applyAlignment="1">
      <alignment horizontal="left"/>
      <protection/>
    </xf>
    <xf numFmtId="0" fontId="56" fillId="0" borderId="11" xfId="68" applyFont="1" applyBorder="1" applyAlignment="1">
      <alignment horizontal="left"/>
      <protection/>
    </xf>
    <xf numFmtId="0" fontId="56" fillId="0" borderId="10" xfId="68" applyFont="1" applyBorder="1" applyAlignment="1">
      <alignment horizontal="center"/>
      <protection/>
    </xf>
    <xf numFmtId="0" fontId="18" fillId="0" borderId="21" xfId="38" applyFont="1" applyFill="1" applyBorder="1" applyAlignment="1">
      <alignment horizontal="center" vertical="center" wrapText="1"/>
      <protection/>
    </xf>
    <xf numFmtId="0" fontId="18" fillId="0" borderId="20" xfId="38" applyFont="1" applyFill="1" applyBorder="1" applyAlignment="1">
      <alignment horizontal="center" vertical="center" wrapText="1"/>
      <protection/>
    </xf>
    <xf numFmtId="0" fontId="18" fillId="0" borderId="19" xfId="38" applyFont="1" applyFill="1" applyBorder="1" applyAlignment="1">
      <alignment horizontal="center" vertical="center" wrapText="1"/>
      <protection/>
    </xf>
    <xf numFmtId="0" fontId="18" fillId="0" borderId="78" xfId="38" applyFont="1" applyFill="1" applyBorder="1" applyAlignment="1">
      <alignment horizontal="center" vertical="center" wrapText="1"/>
      <protection/>
    </xf>
    <xf numFmtId="0" fontId="18" fillId="0" borderId="21" xfId="38" applyFont="1" applyFill="1" applyBorder="1" applyAlignment="1">
      <alignment horizontal="center" vertical="center"/>
      <protection/>
    </xf>
    <xf numFmtId="0" fontId="18" fillId="0" borderId="19" xfId="38" applyFont="1" applyFill="1" applyBorder="1" applyAlignment="1">
      <alignment horizontal="center" vertical="center"/>
      <protection/>
    </xf>
    <xf numFmtId="0" fontId="18" fillId="0" borderId="20" xfId="38" applyFont="1" applyFill="1" applyBorder="1" applyAlignment="1">
      <alignment horizontal="center" vertical="center"/>
      <protection/>
    </xf>
    <xf numFmtId="0" fontId="18" fillId="0" borderId="21" xfId="38" applyNumberFormat="1" applyFont="1" applyFill="1" applyBorder="1" applyAlignment="1" applyProtection="1">
      <alignment horizontal="center" vertical="center"/>
      <protection/>
    </xf>
    <xf numFmtId="0" fontId="18" fillId="0" borderId="19" xfId="38" applyNumberFormat="1" applyFont="1" applyFill="1" applyBorder="1" applyAlignment="1" applyProtection="1">
      <alignment horizontal="center" vertical="center"/>
      <protection/>
    </xf>
    <xf numFmtId="0" fontId="18" fillId="0" borderId="20" xfId="38" applyNumberFormat="1" applyFont="1" applyFill="1" applyBorder="1" applyAlignment="1" applyProtection="1">
      <alignment horizontal="center" vertical="center"/>
      <protection/>
    </xf>
    <xf numFmtId="0" fontId="18" fillId="0" borderId="25" xfId="38" applyFont="1" applyFill="1" applyBorder="1" applyAlignment="1">
      <alignment horizontal="center" vertical="center" textRotation="90"/>
      <protection/>
    </xf>
    <xf numFmtId="0" fontId="18" fillId="0" borderId="23" xfId="38" applyFont="1" applyFill="1" applyBorder="1" applyAlignment="1">
      <alignment horizontal="center" vertical="center" textRotation="90"/>
      <protection/>
    </xf>
    <xf numFmtId="4" fontId="18" fillId="0" borderId="12" xfId="38" applyNumberFormat="1" applyFont="1" applyBorder="1" applyAlignment="1">
      <alignment horizontal="center" vertical="center" wrapText="1"/>
      <protection/>
    </xf>
    <xf numFmtId="4" fontId="18" fillId="18" borderId="75" xfId="38" applyNumberFormat="1" applyFont="1" applyFill="1" applyBorder="1" applyAlignment="1">
      <alignment horizontal="center" vertical="center" wrapText="1"/>
      <protection/>
    </xf>
    <xf numFmtId="4" fontId="18" fillId="18" borderId="84" xfId="38" applyNumberFormat="1" applyFont="1" applyFill="1" applyBorder="1" applyAlignment="1">
      <alignment horizontal="center" vertical="center" wrapText="1"/>
      <protection/>
    </xf>
    <xf numFmtId="4" fontId="18" fillId="24" borderId="75" xfId="38" applyNumberFormat="1" applyFont="1" applyFill="1" applyBorder="1" applyAlignment="1">
      <alignment horizontal="center" vertical="center" wrapText="1"/>
      <protection/>
    </xf>
    <xf numFmtId="4" fontId="18" fillId="24" borderId="84" xfId="38" applyNumberFormat="1" applyFont="1" applyFill="1" applyBorder="1" applyAlignment="1">
      <alignment horizontal="center" vertical="center" wrapText="1"/>
      <protection/>
    </xf>
    <xf numFmtId="4" fontId="18" fillId="16" borderId="31" xfId="38" applyNumberFormat="1" applyFont="1" applyFill="1" applyBorder="1" applyAlignment="1">
      <alignment horizontal="center" vertical="center" wrapText="1"/>
      <protection/>
    </xf>
    <xf numFmtId="4" fontId="18" fillId="16" borderId="74" xfId="38" applyNumberFormat="1" applyFont="1" applyFill="1" applyBorder="1" applyAlignment="1">
      <alignment horizontal="center" vertical="center" wrapText="1"/>
      <protection/>
    </xf>
    <xf numFmtId="49" fontId="18" fillId="0" borderId="31" xfId="38" applyNumberFormat="1" applyFont="1" applyFill="1" applyBorder="1" applyAlignment="1">
      <alignment horizontal="center" vertical="center" wrapText="1"/>
      <protection/>
    </xf>
    <xf numFmtId="49" fontId="18" fillId="0" borderId="14" xfId="38" applyNumberFormat="1" applyFont="1" applyFill="1" applyBorder="1" applyAlignment="1">
      <alignment horizontal="center" vertical="center" wrapText="1"/>
      <protection/>
    </xf>
    <xf numFmtId="0" fontId="18" fillId="0" borderId="79" xfId="38" applyFont="1" applyBorder="1" applyAlignment="1">
      <alignment horizontal="center" vertical="center" wrapText="1"/>
      <protection/>
    </xf>
    <xf numFmtId="0" fontId="18" fillId="0" borderId="76" xfId="38" applyFont="1" applyBorder="1" applyAlignment="1">
      <alignment horizontal="center" vertical="center" wrapText="1"/>
      <protection/>
    </xf>
    <xf numFmtId="0" fontId="18" fillId="0" borderId="24" xfId="38" applyFont="1" applyBorder="1" applyAlignment="1">
      <alignment horizontal="center" vertical="center" wrapText="1"/>
      <protection/>
    </xf>
    <xf numFmtId="0" fontId="18" fillId="0" borderId="78" xfId="38" applyFont="1" applyBorder="1" applyAlignment="1">
      <alignment horizontal="center" vertical="center" wrapText="1"/>
      <protection/>
    </xf>
    <xf numFmtId="0" fontId="18" fillId="0" borderId="19" xfId="38" applyFont="1" applyBorder="1" applyAlignment="1">
      <alignment horizontal="center" vertical="center" wrapText="1"/>
      <protection/>
    </xf>
    <xf numFmtId="0" fontId="18" fillId="0" borderId="20" xfId="38" applyFont="1" applyBorder="1" applyAlignment="1">
      <alignment horizontal="center" vertical="center" wrapText="1"/>
      <protection/>
    </xf>
    <xf numFmtId="4" fontId="18" fillId="25" borderId="31" xfId="38" applyNumberFormat="1" applyFont="1" applyFill="1" applyBorder="1" applyAlignment="1">
      <alignment horizontal="center" vertical="center" wrapText="1"/>
      <protection/>
    </xf>
    <xf numFmtId="4" fontId="18" fillId="25" borderId="74" xfId="38" applyNumberFormat="1" applyFont="1" applyFill="1" applyBorder="1" applyAlignment="1">
      <alignment horizontal="center" vertical="center" wrapText="1"/>
      <protection/>
    </xf>
    <xf numFmtId="0" fontId="18" fillId="0" borderId="84" xfId="38" applyFont="1" applyBorder="1" applyAlignment="1">
      <alignment horizontal="center" vertical="center" wrapText="1"/>
      <protection/>
    </xf>
    <xf numFmtId="0" fontId="18" fillId="0" borderId="53" xfId="38" applyFont="1" applyBorder="1" applyAlignment="1">
      <alignment horizontal="center" vertical="center" wrapText="1"/>
      <protection/>
    </xf>
    <xf numFmtId="0" fontId="18" fillId="0" borderId="80" xfId="38" applyFont="1" applyBorder="1" applyAlignment="1">
      <alignment horizontal="center" vertical="center" wrapText="1"/>
      <protection/>
    </xf>
    <xf numFmtId="0" fontId="18" fillId="0" borderId="77" xfId="38" applyFont="1" applyBorder="1" applyAlignment="1">
      <alignment horizontal="center" vertical="center" wrapText="1"/>
      <protection/>
    </xf>
    <xf numFmtId="0" fontId="18" fillId="0" borderId="23" xfId="38" applyFont="1" applyBorder="1" applyAlignment="1">
      <alignment horizontal="center" vertical="center" wrapText="1"/>
      <protection/>
    </xf>
    <xf numFmtId="4" fontId="18" fillId="0" borderId="53" xfId="38" applyNumberFormat="1" applyFont="1" applyBorder="1" applyAlignment="1">
      <alignment horizontal="center" vertical="center" wrapText="1"/>
      <protection/>
    </xf>
    <xf numFmtId="4" fontId="18" fillId="0" borderId="38" xfId="38" applyNumberFormat="1" applyFont="1" applyBorder="1" applyAlignment="1">
      <alignment horizontal="center" vertical="center" wrapText="1"/>
      <protection/>
    </xf>
    <xf numFmtId="4" fontId="18" fillId="0" borderId="62" xfId="38" applyNumberFormat="1" applyFont="1" applyBorder="1" applyAlignment="1">
      <alignment horizontal="center" vertical="center" wrapText="1"/>
      <protection/>
    </xf>
    <xf numFmtId="0" fontId="51" fillId="9" borderId="28" xfId="39" applyFont="1" applyFill="1" applyBorder="1" applyAlignment="1">
      <alignment horizontal="left" vertical="center" wrapText="1"/>
      <protection/>
    </xf>
    <xf numFmtId="0" fontId="51" fillId="9" borderId="29" xfId="39" applyFont="1" applyFill="1" applyBorder="1" applyAlignment="1">
      <alignment horizontal="left" vertical="center" wrapText="1"/>
      <protection/>
    </xf>
    <xf numFmtId="0" fontId="18" fillId="0" borderId="54" xfId="38" applyFont="1" applyBorder="1" applyAlignment="1">
      <alignment horizontal="center" vertical="center" wrapText="1"/>
      <protection/>
    </xf>
    <xf numFmtId="0" fontId="18" fillId="0" borderId="13" xfId="38" applyFont="1" applyBorder="1" applyAlignment="1">
      <alignment horizontal="center" vertical="center" wrapText="1"/>
      <protection/>
    </xf>
    <xf numFmtId="0" fontId="18" fillId="0" borderId="18" xfId="38" applyFont="1" applyBorder="1" applyAlignment="1">
      <alignment horizontal="center" vertical="center" wrapText="1"/>
      <protection/>
    </xf>
    <xf numFmtId="4" fontId="18" fillId="0" borderId="14" xfId="38" applyNumberFormat="1" applyFont="1" applyBorder="1" applyAlignment="1">
      <alignment horizontal="center" vertical="center" wrapText="1"/>
      <protection/>
    </xf>
    <xf numFmtId="4" fontId="18" fillId="0" borderId="73" xfId="38" applyNumberFormat="1" applyFont="1" applyBorder="1" applyAlignment="1">
      <alignment horizontal="center" vertical="center" wrapText="1"/>
      <protection/>
    </xf>
    <xf numFmtId="4" fontId="18" fillId="0" borderId="74" xfId="38" applyNumberFormat="1" applyFont="1" applyBorder="1" applyAlignment="1">
      <alignment horizontal="center" vertical="center" wrapText="1"/>
      <protection/>
    </xf>
    <xf numFmtId="4" fontId="18" fillId="0" borderId="11" xfId="38" applyNumberFormat="1" applyFont="1" applyBorder="1" applyAlignment="1">
      <alignment horizontal="center" vertical="center" wrapText="1"/>
      <protection/>
    </xf>
    <xf numFmtId="4" fontId="18" fillId="0" borderId="10" xfId="38" applyNumberFormat="1" applyFont="1" applyBorder="1" applyAlignment="1">
      <alignment horizontal="center" vertical="center" wrapText="1"/>
      <protection/>
    </xf>
    <xf numFmtId="0" fontId="49" fillId="9" borderId="37" xfId="39" applyFont="1" applyFill="1" applyBorder="1" applyAlignment="1">
      <alignment horizontal="left" vertical="center" wrapText="1"/>
      <protection/>
    </xf>
    <xf numFmtId="0" fontId="49" fillId="9" borderId="38" xfId="39" applyFont="1" applyFill="1" applyBorder="1" applyAlignment="1">
      <alignment horizontal="left" vertical="center" wrapText="1"/>
      <protection/>
    </xf>
    <xf numFmtId="0" fontId="6" fillId="9" borderId="37" xfId="38" applyFont="1" applyFill="1" applyBorder="1" applyAlignment="1" applyProtection="1">
      <alignment horizontal="center" vertical="center" wrapText="1"/>
      <protection/>
    </xf>
    <xf numFmtId="0" fontId="6" fillId="9" borderId="38" xfId="38" applyFont="1" applyFill="1" applyBorder="1" applyAlignment="1" applyProtection="1">
      <alignment horizontal="center" vertical="center" wrapText="1"/>
      <protection/>
    </xf>
    <xf numFmtId="0" fontId="6" fillId="9" borderId="62" xfId="38" applyFont="1" applyFill="1" applyBorder="1" applyAlignment="1" applyProtection="1">
      <alignment horizontal="center" vertical="center" wrapText="1"/>
      <protection/>
    </xf>
    <xf numFmtId="2" fontId="18" fillId="0" borderId="28" xfId="38" applyNumberFormat="1" applyFont="1" applyBorder="1" applyAlignment="1">
      <alignment horizontal="center" vertical="center" wrapText="1"/>
      <protection/>
    </xf>
    <xf numFmtId="0" fontId="18" fillId="0" borderId="43" xfId="38" applyFont="1" applyBorder="1" applyAlignment="1">
      <alignment horizontal="center" vertical="center" wrapText="1"/>
      <protection/>
    </xf>
    <xf numFmtId="4" fontId="18" fillId="0" borderId="31" xfId="38" applyNumberFormat="1" applyFont="1" applyBorder="1" applyAlignment="1">
      <alignment horizontal="center" vertical="center" wrapText="1"/>
      <protection/>
    </xf>
    <xf numFmtId="4" fontId="18" fillId="0" borderId="25" xfId="38" applyNumberFormat="1" applyFont="1" applyBorder="1" applyAlignment="1">
      <alignment horizontal="center" vertical="center" wrapText="1"/>
      <protection/>
    </xf>
    <xf numFmtId="4" fontId="18" fillId="0" borderId="23" xfId="38" applyNumberFormat="1" applyFont="1" applyBorder="1" applyAlignment="1">
      <alignment horizontal="center" vertical="center" wrapText="1"/>
      <protection/>
    </xf>
    <xf numFmtId="0" fontId="18" fillId="0" borderId="21" xfId="39" applyFont="1" applyFill="1" applyBorder="1" applyAlignment="1">
      <alignment horizontal="center" vertical="center" wrapText="1"/>
      <protection/>
    </xf>
    <xf numFmtId="0" fontId="18" fillId="0" borderId="20" xfId="39" applyFont="1" applyFill="1" applyBorder="1" applyAlignment="1">
      <alignment horizontal="center" vertical="center" wrapText="1"/>
      <protection/>
    </xf>
    <xf numFmtId="0" fontId="18" fillId="0" borderId="0" xfId="67" applyFont="1" applyAlignment="1" applyProtection="1">
      <alignment horizontal="left" vertical="center"/>
      <protection hidden="1"/>
    </xf>
    <xf numFmtId="0" fontId="51" fillId="9" borderId="64" xfId="39" applyFont="1" applyFill="1" applyBorder="1" applyAlignment="1">
      <alignment horizontal="left" vertical="center"/>
      <protection/>
    </xf>
    <xf numFmtId="0" fontId="51" fillId="9" borderId="71" xfId="39" applyFont="1" applyFill="1" applyBorder="1" applyAlignment="1">
      <alignment horizontal="left" vertical="center"/>
      <protection/>
    </xf>
    <xf numFmtId="49" fontId="18" fillId="0" borderId="0" xfId="38" applyNumberFormat="1" applyFont="1" applyFill="1" applyBorder="1" applyAlignment="1">
      <alignment horizontal="left" vertical="center"/>
      <protection/>
    </xf>
    <xf numFmtId="0" fontId="18" fillId="0" borderId="72" xfId="38" applyFont="1" applyFill="1" applyBorder="1" applyAlignment="1">
      <alignment horizontal="center" vertical="center"/>
      <protection/>
    </xf>
    <xf numFmtId="0" fontId="18" fillId="0" borderId="26" xfId="38" applyNumberFormat="1" applyFont="1" applyFill="1" applyBorder="1" applyAlignment="1" applyProtection="1">
      <alignment horizontal="center" vertical="top" wrapText="1"/>
      <protection/>
    </xf>
    <xf numFmtId="0" fontId="18" fillId="0" borderId="52" xfId="38" applyNumberFormat="1" applyFont="1" applyFill="1" applyBorder="1" applyAlignment="1" applyProtection="1">
      <alignment vertical="top" wrapText="1"/>
      <protection/>
    </xf>
    <xf numFmtId="0" fontId="18" fillId="0" borderId="24" xfId="38" applyNumberFormat="1" applyFont="1" applyFill="1" applyBorder="1" applyAlignment="1" applyProtection="1">
      <alignment horizontal="center" vertical="top" wrapText="1"/>
      <protection/>
    </xf>
  </cellXfs>
  <cellStyles count="72">
    <cellStyle name="Normal" xfId="0"/>
    <cellStyle name="RowLevel_1" xfId="3"/>
    <cellStyle name="0,0&#13;&#10;NA&#13;&#10;" xfId="15"/>
    <cellStyle name="0,0&#13;&#10;NA&#13;&#10; 2" xfId="16"/>
    <cellStyle name="20% - Акцент1" xfId="17"/>
    <cellStyle name="20% - Акцент2" xfId="18"/>
    <cellStyle name="20% - Акцент3" xfId="19"/>
    <cellStyle name="20% - Акцент4" xfId="20"/>
    <cellStyle name="20% - Акцент5" xfId="21"/>
    <cellStyle name="20% - Акцент6" xfId="22"/>
    <cellStyle name="40% - Акцент1" xfId="23"/>
    <cellStyle name="40% - Акцент2" xfId="24"/>
    <cellStyle name="40% - Акцент3" xfId="25"/>
    <cellStyle name="40% - Акцент4" xfId="26"/>
    <cellStyle name="40% - Акцент5" xfId="27"/>
    <cellStyle name="40% - Акцент6" xfId="28"/>
    <cellStyle name="60% - Акцент1" xfId="29"/>
    <cellStyle name="60% - Акцент2" xfId="30"/>
    <cellStyle name="60% - Акцент3" xfId="31"/>
    <cellStyle name="60% - Акцент4" xfId="32"/>
    <cellStyle name="60% - Акцент5" xfId="33"/>
    <cellStyle name="60% - Акцент6" xfId="34"/>
    <cellStyle name="Iau?iue" xfId="35"/>
    <cellStyle name="Iau?iue_Invest на 2013   c испр.цен 14.12.2012 № 1-1 после совещания с Минаевым2_ 2" xfId="36"/>
    <cellStyle name="Iau?iue_Инвест АСУ ТП 2012 (+2011)  2" xfId="37"/>
    <cellStyle name="Iau?iue_Копия Invest 2011Чернігівобленерго_16 поквартально  с изм. НКРЕ" xfId="38"/>
    <cellStyle name="Iau?iue_Копия Invest 2011Чернігівобленерго_16 поквартально  с изм. НКРЕ 2" xfId="39"/>
    <cellStyle name="Iau?iue_Копия Invest 2011Чернігівобленерго_16 поквартально  с изм. НКРЕ 2_Invest на 2013   c испр.цен 14.12.2012 № 1-1 после совещания с Минаевым2_" xfId="40"/>
    <cellStyle name="Iau?iue_Копия Invest на 2012  17.02.2012-таблица5 стис 2"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Обычный 2" xfId="62"/>
    <cellStyle name="Обычный 3" xfId="63"/>
    <cellStyle name="Обычный_187175CE" xfId="64"/>
    <cellStyle name="Обычный_dodatok (источники ИП)" xfId="65"/>
    <cellStyle name="Обычный_dodatok (источники ИП) изм.реакт. 52373,47" xfId="66"/>
    <cellStyle name="Обычный_nkre1" xfId="67"/>
    <cellStyle name="Обычный_proekt_regul322_zm_d_1" xfId="68"/>
    <cellStyle name="Обычный_новий шаблон ф.132" xfId="69"/>
    <cellStyle name="Обычный_новий шаблон ф.132 2" xfId="70"/>
    <cellStyle name="Обычный_стан ком обліку 2" xfId="71"/>
    <cellStyle name="Followed Hyperlink" xfId="72"/>
    <cellStyle name="Плохой" xfId="73"/>
    <cellStyle name="Пояснение" xfId="74"/>
    <cellStyle name="Примечание" xfId="75"/>
    <cellStyle name="Percent" xfId="76"/>
    <cellStyle name="Процентный 2" xfId="77"/>
    <cellStyle name="Процентный 3" xfId="78"/>
    <cellStyle name="Связанная ячейка" xfId="79"/>
    <cellStyle name="Стиль 1" xfId="80"/>
    <cellStyle name="Текст предупреждения" xfId="81"/>
    <cellStyle name="Comma" xfId="82"/>
    <cellStyle name="Comma [0]" xfId="83"/>
    <cellStyle name="Хороший" xfId="84"/>
  </cellStyles>
  <dxfs count="39">
    <dxf>
      <font>
        <color indexed="9"/>
      </font>
    </dxf>
    <dxf>
      <font>
        <color indexed="9"/>
      </font>
    </dxf>
    <dxf>
      <font>
        <color indexed="9"/>
      </font>
      <fill>
        <patternFill patternType="none">
          <bgColor indexed="65"/>
        </patternFill>
      </fill>
    </dxf>
    <dxf>
      <font>
        <color indexed="9"/>
      </font>
      <fill>
        <patternFill patternType="none">
          <bgColor indexed="65"/>
        </patternFill>
      </fill>
    </dxf>
    <dxf>
      <font>
        <color indexed="9"/>
      </font>
    </dxf>
    <dxf>
      <font>
        <color indexed="9"/>
      </font>
    </dxf>
    <dxf>
      <font>
        <color indexed="9"/>
      </font>
    </dxf>
    <dxf>
      <font>
        <color indexed="9"/>
      </font>
    </dxf>
    <dxf>
      <font>
        <color indexed="9"/>
      </font>
      <fill>
        <patternFill patternType="none">
          <bgColor indexed="65"/>
        </patternFill>
      </fill>
    </dxf>
    <dxf>
      <font>
        <color indexed="9"/>
      </font>
      <fill>
        <patternFill patternType="none">
          <bgColor indexed="65"/>
        </patternFill>
      </fill>
    </dxf>
    <dxf>
      <font>
        <color indexed="9"/>
      </font>
    </dxf>
    <dxf>
      <font>
        <color indexed="9"/>
      </font>
    </dxf>
    <dxf>
      <font>
        <color indexed="9"/>
      </font>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bgColor indexed="50"/>
        </patternFill>
      </fill>
    </dxf>
    <dxf>
      <font>
        <b/>
        <i/>
        <color indexed="10"/>
      </font>
    </dxf>
    <dxf>
      <font>
        <color indexed="10"/>
      </font>
    </dxf>
    <dxf>
      <font>
        <b/>
        <i/>
        <color indexed="10"/>
      </font>
    </dxf>
    <dxf>
      <font>
        <color indexed="10"/>
      </font>
    </dxf>
    <dxf>
      <font>
        <b/>
        <i/>
        <color indexed="10"/>
      </font>
    </dxf>
    <dxf>
      <font>
        <b/>
        <i/>
        <color indexed="10"/>
      </font>
    </dxf>
    <dxf>
      <font>
        <b/>
        <i/>
        <color indexed="10"/>
      </font>
    </dxf>
    <dxf>
      <font>
        <b/>
        <i/>
        <color indexed="10"/>
      </font>
    </dxf>
    <dxf>
      <font>
        <color indexed="10"/>
      </font>
    </dxf>
    <dxf>
      <font>
        <color indexed="10"/>
      </font>
    </dxf>
    <dxf>
      <font>
        <color indexed="10"/>
      </font>
    </dxf>
    <dxf>
      <font>
        <color indexed="10"/>
      </font>
    </dxf>
    <dxf>
      <font>
        <color indexed="10"/>
      </font>
    </dxf>
    <dxf>
      <font>
        <b/>
        <i/>
        <color indexed="10"/>
      </font>
    </dxf>
    <dxf>
      <font>
        <b/>
        <i/>
        <color indexed="12"/>
      </font>
    </dxf>
    <dxf>
      <font>
        <b/>
        <i/>
        <color indexed="10"/>
      </font>
    </dxf>
    <dxf>
      <font>
        <b/>
        <i/>
        <color rgb="FFFF0000"/>
      </font>
      <border/>
    </dxf>
    <dxf>
      <font>
        <b/>
        <i/>
        <color rgb="FF0000FF"/>
      </font>
      <border/>
    </dxf>
    <dxf>
      <font>
        <color rgb="FFFF0000"/>
      </font>
      <border/>
    </dxf>
    <dxf>
      <font>
        <color rgb="FFFFFFFF"/>
      </font>
      <fill>
        <patternFill>
          <bgColor rgb="FF99CC00"/>
        </patternFill>
      </fill>
      <border/>
    </dxf>
    <dxf>
      <font>
        <color rgb="FFFFFFFF"/>
      </font>
      <fill>
        <patternFill patternType="none">
          <bgColor indexed="65"/>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ustovojtov@nerc.gov.u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7"/>
  <sheetViews>
    <sheetView view="pageBreakPreview" zoomScaleSheetLayoutView="100" zoomScalePageLayoutView="0" workbookViewId="0" topLeftCell="A1">
      <selection activeCell="C8" sqref="C8"/>
    </sheetView>
  </sheetViews>
  <sheetFormatPr defaultColWidth="9.00390625" defaultRowHeight="12.75"/>
  <cols>
    <col min="1" max="1" width="23.00390625" style="3" customWidth="1"/>
    <col min="2" max="2" width="4.375" style="3" customWidth="1"/>
    <col min="3" max="3" width="21.25390625" style="3" customWidth="1"/>
    <col min="4" max="4" width="4.875" style="3" customWidth="1"/>
    <col min="5" max="5" width="16.625" style="3" customWidth="1"/>
    <col min="6" max="6" width="14.00390625" style="3" customWidth="1"/>
    <col min="7" max="7" width="9.125" style="3" customWidth="1"/>
    <col min="8" max="8" width="11.875" style="3" customWidth="1"/>
    <col min="9" max="16384" width="9.125" style="3" customWidth="1"/>
  </cols>
  <sheetData>
    <row r="1" spans="1:6" ht="12.75">
      <c r="A1" s="319"/>
      <c r="B1" s="319"/>
      <c r="C1" s="320"/>
      <c r="D1" s="320"/>
      <c r="E1" s="1412" t="s">
        <v>149</v>
      </c>
      <c r="F1" s="1412"/>
    </row>
    <row r="2" spans="1:6" ht="15.75">
      <c r="A2" s="319"/>
      <c r="B2" s="319"/>
      <c r="C2" s="1413" t="s">
        <v>150</v>
      </c>
      <c r="D2" s="1413"/>
      <c r="E2" s="1413"/>
      <c r="F2" s="1413"/>
    </row>
    <row r="3" spans="1:6" ht="15.75">
      <c r="A3" s="319"/>
      <c r="B3" s="319"/>
      <c r="C3" s="1414" t="s">
        <v>151</v>
      </c>
      <c r="D3" s="1414"/>
      <c r="E3" s="1414"/>
      <c r="F3" s="1414"/>
    </row>
    <row r="4" spans="1:6" ht="15.75">
      <c r="A4" s="319"/>
      <c r="B4" s="319"/>
      <c r="C4" s="1414" t="s">
        <v>152</v>
      </c>
      <c r="D4" s="1414"/>
      <c r="E4" s="1414"/>
      <c r="F4" s="1414"/>
    </row>
    <row r="5" spans="1:6" ht="12.75">
      <c r="A5" s="319"/>
      <c r="B5" s="319"/>
      <c r="C5" s="319"/>
      <c r="D5" s="319"/>
      <c r="E5" s="319"/>
      <c r="F5" s="319"/>
    </row>
    <row r="6" spans="1:6" ht="12.75">
      <c r="A6" s="319"/>
      <c r="B6" s="319"/>
      <c r="C6" s="319"/>
      <c r="D6" s="319"/>
      <c r="E6" s="319"/>
      <c r="F6" s="319"/>
    </row>
    <row r="7" spans="1:6" ht="12.75">
      <c r="A7" s="319"/>
      <c r="B7" s="319"/>
      <c r="C7" s="319"/>
      <c r="D7" s="319"/>
      <c r="E7" s="319"/>
      <c r="F7" s="319"/>
    </row>
    <row r="8" spans="1:6" ht="12.75">
      <c r="A8" s="319"/>
      <c r="B8" s="319"/>
      <c r="C8" s="319"/>
      <c r="D8" s="319"/>
      <c r="E8" s="319"/>
      <c r="F8" s="319"/>
    </row>
    <row r="9" spans="1:6" ht="12.75">
      <c r="A9" s="319"/>
      <c r="B9" s="319"/>
      <c r="C9" s="319"/>
      <c r="D9" s="319"/>
      <c r="E9" s="319"/>
      <c r="F9" s="319"/>
    </row>
    <row r="10" spans="1:6" ht="12.75">
      <c r="A10" s="319"/>
      <c r="B10" s="319"/>
      <c r="C10" s="319"/>
      <c r="D10" s="319"/>
      <c r="E10" s="319"/>
      <c r="F10" s="319"/>
    </row>
    <row r="11" spans="1:6" ht="12.75">
      <c r="A11" s="319"/>
      <c r="B11" s="319"/>
      <c r="C11" s="319"/>
      <c r="D11" s="319"/>
      <c r="E11" s="319"/>
      <c r="F11" s="319"/>
    </row>
    <row r="12" spans="1:6" ht="13.5" thickBot="1">
      <c r="A12" s="319"/>
      <c r="B12" s="319"/>
      <c r="C12" s="319"/>
      <c r="D12" s="319"/>
      <c r="E12" s="319"/>
      <c r="F12" s="319"/>
    </row>
    <row r="13" spans="1:6" ht="36.75" customHeight="1" thickBot="1">
      <c r="A13" s="1417" t="s">
        <v>1735</v>
      </c>
      <c r="B13" s="1417"/>
      <c r="C13" s="1417"/>
      <c r="D13" s="1417"/>
      <c r="E13" s="1417"/>
      <c r="F13" s="1417"/>
    </row>
    <row r="14" spans="1:6" ht="45.75" customHeight="1" thickBot="1">
      <c r="A14" s="321" t="s">
        <v>1736</v>
      </c>
      <c r="B14" s="1418" t="s">
        <v>1729</v>
      </c>
      <c r="C14" s="1419"/>
      <c r="D14" s="1419"/>
      <c r="E14" s="1419"/>
      <c r="F14" s="1420"/>
    </row>
    <row r="15" spans="1:6" ht="22.5" customHeight="1" thickBot="1">
      <c r="A15" s="321" t="s">
        <v>1856</v>
      </c>
      <c r="B15" s="322" t="s">
        <v>1799</v>
      </c>
      <c r="C15" s="323">
        <v>42005</v>
      </c>
      <c r="D15" s="322" t="s">
        <v>1737</v>
      </c>
      <c r="E15" s="1421">
        <v>42369</v>
      </c>
      <c r="F15" s="1422"/>
    </row>
    <row r="16" spans="1:6" ht="24" customHeight="1" thickBot="1">
      <c r="A16" s="321" t="s">
        <v>1857</v>
      </c>
      <c r="B16" s="322" t="s">
        <v>1799</v>
      </c>
      <c r="C16" s="324">
        <v>2015</v>
      </c>
      <c r="D16" s="322" t="s">
        <v>1737</v>
      </c>
      <c r="E16" s="325">
        <v>2019</v>
      </c>
      <c r="F16" s="322" t="s">
        <v>1760</v>
      </c>
    </row>
    <row r="20" spans="1:6" ht="12.75" hidden="1">
      <c r="A20" s="1415" t="s">
        <v>1910</v>
      </c>
      <c r="B20" s="1415"/>
      <c r="C20" s="1415"/>
      <c r="D20" s="1415"/>
      <c r="E20" s="1415"/>
      <c r="F20" s="1415"/>
    </row>
    <row r="21" ht="12.75" hidden="1"/>
    <row r="22" ht="12.75" hidden="1"/>
    <row r="23" ht="12.75" hidden="1"/>
    <row r="24" ht="12.75" hidden="1"/>
    <row r="25" spans="1:4" ht="12.75" hidden="1">
      <c r="A25" s="13"/>
      <c r="B25" s="13"/>
      <c r="C25" s="13"/>
      <c r="D25" s="13"/>
    </row>
    <row r="26" spans="1:6" ht="12.75" hidden="1">
      <c r="A26" s="1416" t="s">
        <v>1911</v>
      </c>
      <c r="B26" s="1416"/>
      <c r="C26" s="1416"/>
      <c r="D26" s="1416"/>
      <c r="E26" s="1416"/>
      <c r="F26" s="1416"/>
    </row>
    <row r="27" spans="1:6" ht="12.75" hidden="1">
      <c r="A27" s="1416"/>
      <c r="B27" s="1416"/>
      <c r="C27" s="1416"/>
      <c r="D27" s="1416"/>
      <c r="E27" s="1416"/>
      <c r="F27" s="1416"/>
    </row>
  </sheetData>
  <sheetProtection/>
  <mergeCells count="9">
    <mergeCell ref="E1:F1"/>
    <mergeCell ref="C2:F2"/>
    <mergeCell ref="C4:F4"/>
    <mergeCell ref="C3:F3"/>
    <mergeCell ref="A20:F20"/>
    <mergeCell ref="A26:F27"/>
    <mergeCell ref="A13:F13"/>
    <mergeCell ref="B14:F14"/>
    <mergeCell ref="E15:F15"/>
  </mergeCells>
  <hyperlinks>
    <hyperlink ref="A26:D26" r:id="rId1" display="При виникненні питань з приводу заповнення форми звертайтесь за адресою: pustovojtov@nerc.gov.ua"/>
  </hyperlinks>
  <printOptions/>
  <pageMargins left="0.9448818897637796" right="0.3937007874015748" top="0.9055118110236221" bottom="0.7874015748031497" header="0.5118110236220472" footer="0.5118110236220472"/>
  <pageSetup horizontalDpi="600" verticalDpi="600" orientation="portrait" pageOrder="overThenDown" paperSize="9" r:id="rId2"/>
</worksheet>
</file>

<file path=xl/worksheets/sheet10.xml><?xml version="1.0" encoding="utf-8"?>
<worksheet xmlns="http://schemas.openxmlformats.org/spreadsheetml/2006/main" xmlns:r="http://schemas.openxmlformats.org/officeDocument/2006/relationships">
  <dimension ref="A1:H18"/>
  <sheetViews>
    <sheetView view="pageBreakPreview" zoomScaleSheetLayoutView="100" zoomScalePageLayoutView="0" workbookViewId="0" topLeftCell="A1">
      <pane ySplit="5" topLeftCell="A6" activePane="bottomLeft" state="frozen"/>
      <selection pane="topLeft" activeCell="B50" sqref="B50"/>
      <selection pane="bottomLeft" activeCell="C2" sqref="C2:C4"/>
    </sheetView>
  </sheetViews>
  <sheetFormatPr defaultColWidth="9.00390625" defaultRowHeight="12.75"/>
  <cols>
    <col min="1" max="1" width="18.75390625" style="89" customWidth="1"/>
    <col min="2" max="3" width="23.25390625" style="89" customWidth="1"/>
    <col min="4" max="4" width="9.125" style="89" customWidth="1"/>
    <col min="5" max="5" width="14.375" style="89" customWidth="1"/>
    <col min="6" max="6" width="13.875" style="89" customWidth="1"/>
    <col min="7" max="7" width="13.625" style="89" customWidth="1"/>
    <col min="8" max="8" width="15.75390625" style="89" customWidth="1"/>
    <col min="9" max="16384" width="9.125" style="86" customWidth="1"/>
  </cols>
  <sheetData>
    <row r="1" spans="1:8" ht="47.25" customHeight="1">
      <c r="A1" s="1545" t="s">
        <v>2149</v>
      </c>
      <c r="B1" s="1545"/>
      <c r="C1" s="1545"/>
      <c r="D1" s="1545"/>
      <c r="E1" s="1545"/>
      <c r="F1" s="1545"/>
      <c r="G1" s="1545"/>
      <c r="H1" s="1545"/>
    </row>
    <row r="2" spans="1:8" ht="18" customHeight="1">
      <c r="A2" s="1546" t="s">
        <v>1752</v>
      </c>
      <c r="B2" s="1546" t="s">
        <v>2150</v>
      </c>
      <c r="C2" s="1546" t="s">
        <v>2151</v>
      </c>
      <c r="D2" s="1546" t="s">
        <v>1753</v>
      </c>
      <c r="E2" s="1546"/>
      <c r="F2" s="1546"/>
      <c r="G2" s="1546"/>
      <c r="H2" s="1546"/>
    </row>
    <row r="3" spans="1:8" ht="14.25" customHeight="1">
      <c r="A3" s="1546"/>
      <c r="B3" s="1546"/>
      <c r="C3" s="1546"/>
      <c r="D3" s="1546" t="s">
        <v>1756</v>
      </c>
      <c r="E3" s="1546" t="s">
        <v>1754</v>
      </c>
      <c r="F3" s="1546"/>
      <c r="G3" s="1546" t="s">
        <v>1755</v>
      </c>
      <c r="H3" s="1546"/>
    </row>
    <row r="4" spans="1:8" ht="44.25" customHeight="1">
      <c r="A4" s="1546"/>
      <c r="B4" s="1546"/>
      <c r="C4" s="1546"/>
      <c r="D4" s="1546"/>
      <c r="E4" s="538" t="s">
        <v>2152</v>
      </c>
      <c r="F4" s="538" t="s">
        <v>2153</v>
      </c>
      <c r="G4" s="538" t="s">
        <v>1757</v>
      </c>
      <c r="H4" s="538" t="s">
        <v>1758</v>
      </c>
    </row>
    <row r="5" spans="1:8" s="87" customFormat="1" ht="15" customHeight="1">
      <c r="A5" s="539">
        <v>1</v>
      </c>
      <c r="B5" s="539">
        <v>2</v>
      </c>
      <c r="C5" s="539">
        <v>3</v>
      </c>
      <c r="D5" s="539">
        <v>4</v>
      </c>
      <c r="E5" s="539">
        <v>5</v>
      </c>
      <c r="F5" s="539">
        <v>6</v>
      </c>
      <c r="G5" s="539">
        <v>7</v>
      </c>
      <c r="H5" s="539">
        <v>8</v>
      </c>
    </row>
    <row r="6" spans="1:8" ht="15" customHeight="1">
      <c r="A6" s="540">
        <v>521225</v>
      </c>
      <c r="B6" s="540">
        <v>269593</v>
      </c>
      <c r="C6" s="540">
        <v>251632</v>
      </c>
      <c r="D6" s="540">
        <v>0</v>
      </c>
      <c r="E6" s="540">
        <v>191408</v>
      </c>
      <c r="F6" s="533">
        <v>31229</v>
      </c>
      <c r="G6" s="533">
        <v>298588</v>
      </c>
      <c r="H6" s="533">
        <v>0</v>
      </c>
    </row>
    <row r="7" spans="1:8" ht="12.75">
      <c r="A7" s="541"/>
      <c r="B7" s="541"/>
      <c r="C7" s="541"/>
      <c r="D7" s="541"/>
      <c r="E7" s="541"/>
      <c r="F7" s="541"/>
      <c r="G7" s="541"/>
      <c r="H7" s="541"/>
    </row>
    <row r="8" spans="1:8" ht="12.75">
      <c r="A8" s="88"/>
      <c r="B8" s="88"/>
      <c r="C8" s="88"/>
      <c r="D8" s="88"/>
      <c r="E8" s="88"/>
      <c r="F8" s="88"/>
      <c r="G8" s="88"/>
      <c r="H8" s="88"/>
    </row>
    <row r="9" spans="1:8" ht="12.75">
      <c r="A9" s="88"/>
      <c r="B9" s="88"/>
      <c r="C9" s="88"/>
      <c r="D9" s="88"/>
      <c r="E9" s="88"/>
      <c r="F9" s="88"/>
      <c r="G9" s="88"/>
      <c r="H9" s="88"/>
    </row>
    <row r="10" spans="1:8" ht="12.75">
      <c r="A10" s="88"/>
      <c r="B10" s="88"/>
      <c r="C10" s="88"/>
      <c r="D10" s="88"/>
      <c r="E10" s="88"/>
      <c r="F10" s="88"/>
      <c r="G10" s="88"/>
      <c r="H10" s="88"/>
    </row>
    <row r="11" spans="1:8" ht="12.75">
      <c r="A11" s="88"/>
      <c r="B11" s="88"/>
      <c r="C11" s="88"/>
      <c r="D11" s="88"/>
      <c r="E11" s="88"/>
      <c r="F11" s="88"/>
      <c r="G11" s="88"/>
      <c r="H11" s="88"/>
    </row>
    <row r="12" spans="1:8" ht="12.75">
      <c r="A12" s="88"/>
      <c r="B12" s="88"/>
      <c r="C12" s="88"/>
      <c r="D12" s="88"/>
      <c r="E12" s="88"/>
      <c r="F12" s="88"/>
      <c r="G12" s="88"/>
      <c r="H12" s="88"/>
    </row>
    <row r="13" spans="1:8" ht="12.75">
      <c r="A13" s="88"/>
      <c r="B13" s="88"/>
      <c r="C13" s="88"/>
      <c r="D13" s="88"/>
      <c r="E13" s="88"/>
      <c r="F13" s="88"/>
      <c r="G13" s="88"/>
      <c r="H13" s="88"/>
    </row>
    <row r="14" spans="1:8" ht="12.75">
      <c r="A14" s="88"/>
      <c r="B14" s="88"/>
      <c r="C14" s="88"/>
      <c r="D14" s="88"/>
      <c r="E14" s="88"/>
      <c r="F14" s="88"/>
      <c r="G14" s="88"/>
      <c r="H14" s="88"/>
    </row>
    <row r="15" spans="1:8" ht="12.75">
      <c r="A15" s="88"/>
      <c r="B15" s="88"/>
      <c r="C15" s="88"/>
      <c r="D15" s="88"/>
      <c r="E15" s="88"/>
      <c r="F15" s="88"/>
      <c r="G15" s="88"/>
      <c r="H15" s="88"/>
    </row>
    <row r="16" spans="1:8" ht="12.75">
      <c r="A16" s="88"/>
      <c r="B16" s="88"/>
      <c r="C16" s="88"/>
      <c r="D16" s="88"/>
      <c r="E16" s="88"/>
      <c r="F16" s="88"/>
      <c r="G16" s="88"/>
      <c r="H16" s="88"/>
    </row>
    <row r="17" spans="1:8" ht="12.75">
      <c r="A17" s="88"/>
      <c r="B17" s="88"/>
      <c r="C17" s="88"/>
      <c r="D17" s="88"/>
      <c r="E17" s="88"/>
      <c r="F17" s="88"/>
      <c r="G17" s="88"/>
      <c r="H17" s="88"/>
    </row>
    <row r="18" spans="1:8" ht="12.75">
      <c r="A18" s="88"/>
      <c r="B18" s="88"/>
      <c r="C18" s="88"/>
      <c r="D18" s="88"/>
      <c r="E18" s="88"/>
      <c r="F18" s="88"/>
      <c r="G18" s="88"/>
      <c r="H18" s="88"/>
    </row>
  </sheetData>
  <sheetProtection/>
  <mergeCells count="8">
    <mergeCell ref="A1:H1"/>
    <mergeCell ref="A2:A4"/>
    <mergeCell ref="B2:B4"/>
    <mergeCell ref="C2:C4"/>
    <mergeCell ref="D2:H2"/>
    <mergeCell ref="D3:D4"/>
    <mergeCell ref="E3:F3"/>
    <mergeCell ref="G3:H3"/>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13"/>
  <sheetViews>
    <sheetView view="pageBreakPreview" zoomScaleSheetLayoutView="100" zoomScalePageLayoutView="0" workbookViewId="0" topLeftCell="A1">
      <selection activeCell="E5" sqref="E5"/>
    </sheetView>
  </sheetViews>
  <sheetFormatPr defaultColWidth="9.00390625" defaultRowHeight="12.75"/>
  <cols>
    <col min="1" max="1" width="5.00390625" style="84" customWidth="1"/>
    <col min="2" max="4" width="19.25390625" style="84" customWidth="1"/>
    <col min="5" max="5" width="19.125" style="84" customWidth="1"/>
    <col min="6" max="6" width="21.75390625" style="84" customWidth="1"/>
    <col min="7" max="16384" width="9.125" style="84" customWidth="1"/>
  </cols>
  <sheetData>
    <row r="1" spans="1:6" ht="27" customHeight="1">
      <c r="A1" s="1539" t="s">
        <v>2154</v>
      </c>
      <c r="B1" s="1547"/>
      <c r="C1" s="1547"/>
      <c r="D1" s="1547"/>
      <c r="E1" s="1547"/>
      <c r="F1" s="1547"/>
    </row>
    <row r="2" spans="1:6" ht="30.75" customHeight="1">
      <c r="A2" s="1543" t="s">
        <v>2082</v>
      </c>
      <c r="B2" s="1543" t="s">
        <v>2147</v>
      </c>
      <c r="C2" s="1544" t="s">
        <v>2148</v>
      </c>
      <c r="D2" s="1544"/>
      <c r="E2" s="1544" t="s">
        <v>2</v>
      </c>
      <c r="F2" s="1544"/>
    </row>
    <row r="3" spans="1:6" ht="28.5" customHeight="1">
      <c r="A3" s="1543"/>
      <c r="B3" s="1543"/>
      <c r="C3" s="530" t="s">
        <v>1751</v>
      </c>
      <c r="D3" s="530" t="s">
        <v>1750</v>
      </c>
      <c r="E3" s="530" t="s">
        <v>1751</v>
      </c>
      <c r="F3" s="530" t="s">
        <v>1750</v>
      </c>
    </row>
    <row r="4" spans="1:6" s="85" customFormat="1" ht="15.75" customHeight="1">
      <c r="A4" s="543">
        <v>1</v>
      </c>
      <c r="B4" s="543">
        <v>2</v>
      </c>
      <c r="C4" s="543">
        <v>3</v>
      </c>
      <c r="D4" s="543">
        <v>4</v>
      </c>
      <c r="E4" s="543">
        <v>5</v>
      </c>
      <c r="F4" s="543">
        <v>6</v>
      </c>
    </row>
    <row r="5" spans="1:6" ht="12.75">
      <c r="A5" s="544">
        <v>1</v>
      </c>
      <c r="B5" s="545" t="s">
        <v>1701</v>
      </c>
      <c r="C5" s="546">
        <v>352313</v>
      </c>
      <c r="D5" s="547">
        <f>IF(C10=0,0,C5/C10)</f>
        <v>0.6759326586407022</v>
      </c>
      <c r="E5" s="546">
        <v>380373</v>
      </c>
      <c r="F5" s="548">
        <f>IF(E10=0,0,E5/E10)</f>
        <v>0.7297673749340496</v>
      </c>
    </row>
    <row r="6" spans="1:7" s="85" customFormat="1" ht="12.75">
      <c r="A6" s="549">
        <v>2</v>
      </c>
      <c r="B6" s="550" t="s">
        <v>1702</v>
      </c>
      <c r="C6" s="546">
        <v>168912</v>
      </c>
      <c r="D6" s="547">
        <f>IF(C10=0,0,C6/C10)</f>
        <v>0.3240673413592978</v>
      </c>
      <c r="E6" s="546">
        <v>140852</v>
      </c>
      <c r="F6" s="548">
        <f>IF(E10=0,0,E6/E10)</f>
        <v>0.2702326250659504</v>
      </c>
      <c r="G6" s="149"/>
    </row>
    <row r="7" spans="1:6" ht="12.75">
      <c r="A7" s="544">
        <v>3</v>
      </c>
      <c r="B7" s="545" t="s">
        <v>1703</v>
      </c>
      <c r="C7" s="546">
        <v>0</v>
      </c>
      <c r="D7" s="547">
        <f>IF(C10=0,0,C7/C10)</f>
        <v>0</v>
      </c>
      <c r="E7" s="546">
        <v>0</v>
      </c>
      <c r="F7" s="548">
        <f>IF(E10=0,0,E7/E10)</f>
        <v>0</v>
      </c>
    </row>
    <row r="8" spans="1:6" s="85" customFormat="1" ht="12.75">
      <c r="A8" s="549">
        <v>4</v>
      </c>
      <c r="B8" s="550" t="s">
        <v>1704</v>
      </c>
      <c r="C8" s="546">
        <v>0</v>
      </c>
      <c r="D8" s="547">
        <f>IF(C10=0,0,C8/C10)</f>
        <v>0</v>
      </c>
      <c r="E8" s="546">
        <v>0</v>
      </c>
      <c r="F8" s="548">
        <f>IF(E10=0,0,E8/E10)</f>
        <v>0</v>
      </c>
    </row>
    <row r="9" spans="1:6" ht="12.75">
      <c r="A9" s="544">
        <v>5</v>
      </c>
      <c r="B9" s="545" t="s">
        <v>1705</v>
      </c>
      <c r="C9" s="546">
        <v>0</v>
      </c>
      <c r="D9" s="547">
        <f>IF(C10=0,0,C9/C10)</f>
        <v>0</v>
      </c>
      <c r="E9" s="546">
        <v>0</v>
      </c>
      <c r="F9" s="548">
        <f>IF(E10=0,0,E9/E10)</f>
        <v>0</v>
      </c>
    </row>
    <row r="10" spans="1:6" ht="12.75">
      <c r="A10" s="549">
        <v>6</v>
      </c>
      <c r="B10" s="550" t="s">
        <v>1693</v>
      </c>
      <c r="C10" s="551">
        <v>521225</v>
      </c>
      <c r="D10" s="547">
        <f>SUM(D5:D9)</f>
        <v>1</v>
      </c>
      <c r="E10" s="551">
        <v>521225</v>
      </c>
      <c r="F10" s="548">
        <f>SUM(F5:F9)</f>
        <v>1</v>
      </c>
    </row>
    <row r="11" spans="1:6" ht="12.75">
      <c r="A11" s="69"/>
      <c r="B11" s="69"/>
      <c r="C11" s="101"/>
      <c r="D11" s="101"/>
      <c r="E11" s="101"/>
      <c r="F11" s="69"/>
    </row>
    <row r="13" ht="12.75">
      <c r="C13" s="90"/>
    </row>
  </sheetData>
  <sheetProtection/>
  <mergeCells count="5">
    <mergeCell ref="A1:F1"/>
    <mergeCell ref="A2:A3"/>
    <mergeCell ref="B2:B3"/>
    <mergeCell ref="C2:D2"/>
    <mergeCell ref="E2:F2"/>
  </mergeCells>
  <printOptions/>
  <pageMargins left="1.7322834645669292" right="0.7480314960629921"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20"/>
  </sheetPr>
  <dimension ref="A1:M409"/>
  <sheetViews>
    <sheetView view="pageBreakPreview" zoomScale="75" zoomScaleSheetLayoutView="75" zoomScalePageLayoutView="0" workbookViewId="0" topLeftCell="A1">
      <selection activeCell="H25" sqref="H25"/>
    </sheetView>
  </sheetViews>
  <sheetFormatPr defaultColWidth="9.00390625" defaultRowHeight="12.75"/>
  <cols>
    <col min="1" max="1" width="4.875" style="94" customWidth="1"/>
    <col min="2" max="2" width="23.125" style="91" customWidth="1"/>
    <col min="3" max="3" width="9.375" style="91" customWidth="1"/>
    <col min="4" max="4" width="13.875" style="91" customWidth="1"/>
    <col min="5" max="5" width="12.875" style="91" customWidth="1"/>
    <col min="6" max="6" width="11.625" style="91" customWidth="1"/>
    <col min="7" max="7" width="14.75390625" style="91" customWidth="1"/>
    <col min="8" max="8" width="24.375" style="91" customWidth="1"/>
    <col min="9" max="9" width="14.875" style="91" customWidth="1"/>
    <col min="10" max="10" width="21.75390625" style="91" customWidth="1"/>
    <col min="11" max="11" width="13.625" style="91" customWidth="1"/>
    <col min="12" max="12" width="18.25390625" style="91" customWidth="1"/>
    <col min="13" max="13" width="18.375" style="91" customWidth="1"/>
    <col min="14" max="16384" width="9.125" style="91" customWidth="1"/>
  </cols>
  <sheetData>
    <row r="1" spans="1:13" ht="28.5" customHeight="1">
      <c r="A1" s="1548" t="s">
        <v>3</v>
      </c>
      <c r="B1" s="1548"/>
      <c r="C1" s="1548"/>
      <c r="D1" s="1548"/>
      <c r="E1" s="1548"/>
      <c r="F1" s="1548"/>
      <c r="G1" s="1548"/>
      <c r="H1" s="1548"/>
      <c r="I1" s="1548"/>
      <c r="J1" s="1548"/>
      <c r="K1" s="1548"/>
      <c r="L1" s="1548"/>
      <c r="M1" s="1548"/>
    </row>
    <row r="2" spans="1:13" ht="105" customHeight="1">
      <c r="A2" s="552" t="s">
        <v>2082</v>
      </c>
      <c r="B2" s="553" t="s">
        <v>1748</v>
      </c>
      <c r="C2" s="553" t="s">
        <v>2145</v>
      </c>
      <c r="D2" s="553" t="s">
        <v>1745</v>
      </c>
      <c r="E2" s="553" t="s">
        <v>1746</v>
      </c>
      <c r="F2" s="553" t="s">
        <v>1749</v>
      </c>
      <c r="G2" s="553" t="s">
        <v>4</v>
      </c>
      <c r="H2" s="553" t="s">
        <v>5</v>
      </c>
      <c r="I2" s="553" t="s">
        <v>1969</v>
      </c>
      <c r="J2" s="553" t="s">
        <v>6</v>
      </c>
      <c r="K2" s="554" t="s">
        <v>1867</v>
      </c>
      <c r="L2" s="554" t="s">
        <v>1868</v>
      </c>
      <c r="M2" s="554" t="s">
        <v>1869</v>
      </c>
    </row>
    <row r="3" spans="1:13" s="92" customFormat="1" ht="15">
      <c r="A3" s="555">
        <v>1</v>
      </c>
      <c r="B3" s="556">
        <v>2</v>
      </c>
      <c r="C3" s="556">
        <v>3</v>
      </c>
      <c r="D3" s="556">
        <v>4</v>
      </c>
      <c r="E3" s="556">
        <v>5</v>
      </c>
      <c r="F3" s="556">
        <v>6</v>
      </c>
      <c r="G3" s="556">
        <v>7</v>
      </c>
      <c r="H3" s="556">
        <v>8</v>
      </c>
      <c r="I3" s="556">
        <v>9</v>
      </c>
      <c r="J3" s="556">
        <v>10</v>
      </c>
      <c r="K3" s="557">
        <v>11</v>
      </c>
      <c r="L3" s="557">
        <v>12</v>
      </c>
      <c r="M3" s="557">
        <v>13</v>
      </c>
    </row>
    <row r="4" spans="1:13" s="92" customFormat="1" ht="14.25" customHeight="1">
      <c r="A4" s="558">
        <v>1</v>
      </c>
      <c r="B4" s="1549" t="s">
        <v>421</v>
      </c>
      <c r="C4" s="559" t="s">
        <v>2103</v>
      </c>
      <c r="D4" s="559">
        <v>0.5</v>
      </c>
      <c r="E4" s="559" t="s">
        <v>1978</v>
      </c>
      <c r="F4" s="560" t="s">
        <v>422</v>
      </c>
      <c r="G4" s="561" t="s">
        <v>404</v>
      </c>
      <c r="H4" s="559" t="s">
        <v>1975</v>
      </c>
      <c r="I4" s="562"/>
      <c r="J4" s="563" t="s">
        <v>1975</v>
      </c>
      <c r="K4" s="564" t="s">
        <v>423</v>
      </c>
      <c r="L4" s="565">
        <v>0</v>
      </c>
      <c r="M4" s="565">
        <v>0</v>
      </c>
    </row>
    <row r="5" spans="1:13" s="92" customFormat="1" ht="15">
      <c r="A5" s="566"/>
      <c r="B5" s="1550"/>
      <c r="C5" s="568"/>
      <c r="D5" s="568"/>
      <c r="E5" s="568"/>
      <c r="F5" s="569" t="s">
        <v>424</v>
      </c>
      <c r="G5" s="570" t="s">
        <v>425</v>
      </c>
      <c r="H5" s="568"/>
      <c r="I5" s="571"/>
      <c r="J5" s="572"/>
      <c r="K5" s="573"/>
      <c r="L5" s="574"/>
      <c r="M5" s="574"/>
    </row>
    <row r="6" spans="1:13" s="92" customFormat="1" ht="14.25" customHeight="1">
      <c r="A6" s="558">
        <v>2</v>
      </c>
      <c r="B6" s="1549" t="s">
        <v>426</v>
      </c>
      <c r="C6" s="559" t="s">
        <v>2103</v>
      </c>
      <c r="D6" s="559">
        <v>0.5</v>
      </c>
      <c r="E6" s="559" t="s">
        <v>1978</v>
      </c>
      <c r="F6" s="560" t="s">
        <v>422</v>
      </c>
      <c r="G6" s="561" t="s">
        <v>404</v>
      </c>
      <c r="H6" s="559" t="s">
        <v>1975</v>
      </c>
      <c r="I6" s="562"/>
      <c r="J6" s="563" t="s">
        <v>1975</v>
      </c>
      <c r="K6" s="564" t="s">
        <v>423</v>
      </c>
      <c r="L6" s="565">
        <v>0</v>
      </c>
      <c r="M6" s="565">
        <v>0</v>
      </c>
    </row>
    <row r="7" spans="1:13" s="92" customFormat="1" ht="15">
      <c r="A7" s="566"/>
      <c r="B7" s="1550"/>
      <c r="C7" s="568"/>
      <c r="D7" s="568"/>
      <c r="E7" s="568"/>
      <c r="F7" s="569" t="s">
        <v>424</v>
      </c>
      <c r="G7" s="570" t="s">
        <v>425</v>
      </c>
      <c r="H7" s="568"/>
      <c r="I7" s="571"/>
      <c r="J7" s="572"/>
      <c r="K7" s="573"/>
      <c r="L7" s="574"/>
      <c r="M7" s="574"/>
    </row>
    <row r="8" spans="1:13" s="92" customFormat="1" ht="14.25" customHeight="1">
      <c r="A8" s="558">
        <v>3</v>
      </c>
      <c r="B8" s="1549" t="s">
        <v>427</v>
      </c>
      <c r="C8" s="559" t="s">
        <v>2103</v>
      </c>
      <c r="D8" s="559">
        <v>0.5</v>
      </c>
      <c r="E8" s="559" t="s">
        <v>1978</v>
      </c>
      <c r="F8" s="560" t="s">
        <v>422</v>
      </c>
      <c r="G8" s="561" t="s">
        <v>404</v>
      </c>
      <c r="H8" s="559" t="s">
        <v>1975</v>
      </c>
      <c r="I8" s="562"/>
      <c r="J8" s="563" t="s">
        <v>1975</v>
      </c>
      <c r="K8" s="564" t="s">
        <v>423</v>
      </c>
      <c r="L8" s="565">
        <v>0</v>
      </c>
      <c r="M8" s="565">
        <v>0</v>
      </c>
    </row>
    <row r="9" spans="1:13" s="92" customFormat="1" ht="15">
      <c r="A9" s="566"/>
      <c r="B9" s="1550"/>
      <c r="C9" s="568"/>
      <c r="D9" s="568"/>
      <c r="E9" s="568"/>
      <c r="F9" s="569" t="s">
        <v>424</v>
      </c>
      <c r="G9" s="570" t="s">
        <v>425</v>
      </c>
      <c r="H9" s="568"/>
      <c r="I9" s="571"/>
      <c r="J9" s="572"/>
      <c r="K9" s="573"/>
      <c r="L9" s="574"/>
      <c r="M9" s="574"/>
    </row>
    <row r="10" spans="1:13" s="92" customFormat="1" ht="14.25" customHeight="1">
      <c r="A10" s="558">
        <v>4</v>
      </c>
      <c r="B10" s="1549" t="s">
        <v>428</v>
      </c>
      <c r="C10" s="559" t="s">
        <v>2103</v>
      </c>
      <c r="D10" s="559">
        <v>0.5</v>
      </c>
      <c r="E10" s="559" t="s">
        <v>1978</v>
      </c>
      <c r="F10" s="560" t="s">
        <v>422</v>
      </c>
      <c r="G10" s="561" t="s">
        <v>404</v>
      </c>
      <c r="H10" s="559" t="s">
        <v>1975</v>
      </c>
      <c r="I10" s="562"/>
      <c r="J10" s="563" t="s">
        <v>1975</v>
      </c>
      <c r="K10" s="564" t="s">
        <v>423</v>
      </c>
      <c r="L10" s="565">
        <v>0</v>
      </c>
      <c r="M10" s="565">
        <v>0</v>
      </c>
    </row>
    <row r="11" spans="1:13" s="92" customFormat="1" ht="15">
      <c r="A11" s="566"/>
      <c r="B11" s="1550"/>
      <c r="C11" s="568"/>
      <c r="D11" s="568"/>
      <c r="E11" s="568"/>
      <c r="F11" s="569" t="s">
        <v>424</v>
      </c>
      <c r="G11" s="570" t="s">
        <v>425</v>
      </c>
      <c r="H11" s="568"/>
      <c r="I11" s="571"/>
      <c r="J11" s="572"/>
      <c r="K11" s="573"/>
      <c r="L11" s="574"/>
      <c r="M11" s="574"/>
    </row>
    <row r="12" spans="1:13" s="92" customFormat="1" ht="14.25" customHeight="1">
      <c r="A12" s="558">
        <v>5</v>
      </c>
      <c r="B12" s="1549" t="s">
        <v>429</v>
      </c>
      <c r="C12" s="559" t="s">
        <v>2103</v>
      </c>
      <c r="D12" s="559">
        <v>0.5</v>
      </c>
      <c r="E12" s="559" t="s">
        <v>1978</v>
      </c>
      <c r="F12" s="560" t="s">
        <v>422</v>
      </c>
      <c r="G12" s="561" t="s">
        <v>404</v>
      </c>
      <c r="H12" s="559" t="s">
        <v>1975</v>
      </c>
      <c r="I12" s="562"/>
      <c r="J12" s="563" t="s">
        <v>1975</v>
      </c>
      <c r="K12" s="564" t="s">
        <v>423</v>
      </c>
      <c r="L12" s="565">
        <v>0</v>
      </c>
      <c r="M12" s="565">
        <v>0</v>
      </c>
    </row>
    <row r="13" spans="1:13" s="92" customFormat="1" ht="15">
      <c r="A13" s="566"/>
      <c r="B13" s="1550"/>
      <c r="C13" s="568"/>
      <c r="D13" s="568"/>
      <c r="E13" s="568"/>
      <c r="F13" s="569" t="s">
        <v>424</v>
      </c>
      <c r="G13" s="570" t="s">
        <v>425</v>
      </c>
      <c r="H13" s="568"/>
      <c r="I13" s="571"/>
      <c r="J13" s="572"/>
      <c r="K13" s="573"/>
      <c r="L13" s="574"/>
      <c r="M13" s="574"/>
    </row>
    <row r="14" spans="1:13" s="92" customFormat="1" ht="14.25" customHeight="1">
      <c r="A14" s="558">
        <v>6</v>
      </c>
      <c r="B14" s="1549" t="s">
        <v>430</v>
      </c>
      <c r="C14" s="559" t="s">
        <v>2103</v>
      </c>
      <c r="D14" s="559">
        <v>0.5</v>
      </c>
      <c r="E14" s="559" t="s">
        <v>1978</v>
      </c>
      <c r="F14" s="560" t="s">
        <v>422</v>
      </c>
      <c r="G14" s="561" t="s">
        <v>404</v>
      </c>
      <c r="H14" s="559" t="s">
        <v>1975</v>
      </c>
      <c r="I14" s="562"/>
      <c r="J14" s="563" t="s">
        <v>1975</v>
      </c>
      <c r="K14" s="564" t="s">
        <v>423</v>
      </c>
      <c r="L14" s="565">
        <v>0</v>
      </c>
      <c r="M14" s="565">
        <v>0</v>
      </c>
    </row>
    <row r="15" spans="1:13" s="92" customFormat="1" ht="15">
      <c r="A15" s="566"/>
      <c r="B15" s="1550"/>
      <c r="C15" s="568"/>
      <c r="D15" s="568"/>
      <c r="E15" s="568"/>
      <c r="F15" s="569" t="s">
        <v>424</v>
      </c>
      <c r="G15" s="570" t="s">
        <v>425</v>
      </c>
      <c r="H15" s="568"/>
      <c r="I15" s="571"/>
      <c r="J15" s="572"/>
      <c r="K15" s="573"/>
      <c r="L15" s="574"/>
      <c r="M15" s="574"/>
    </row>
    <row r="16" spans="1:13" s="92" customFormat="1" ht="12.75" customHeight="1">
      <c r="A16" s="558">
        <v>7</v>
      </c>
      <c r="B16" s="1549" t="s">
        <v>431</v>
      </c>
      <c r="C16" s="559" t="s">
        <v>2103</v>
      </c>
      <c r="D16" s="559">
        <v>0.5</v>
      </c>
      <c r="E16" s="559" t="s">
        <v>1978</v>
      </c>
      <c r="F16" s="560" t="s">
        <v>422</v>
      </c>
      <c r="G16" s="561" t="s">
        <v>404</v>
      </c>
      <c r="H16" s="559" t="s">
        <v>1975</v>
      </c>
      <c r="I16" s="575">
        <v>61458</v>
      </c>
      <c r="J16" s="563" t="s">
        <v>1975</v>
      </c>
      <c r="K16" s="564" t="s">
        <v>423</v>
      </c>
      <c r="L16" s="565">
        <v>0</v>
      </c>
      <c r="M16" s="565">
        <v>0</v>
      </c>
    </row>
    <row r="17" spans="1:13" s="92" customFormat="1" ht="12.75">
      <c r="A17" s="566"/>
      <c r="B17" s="1550"/>
      <c r="C17" s="568"/>
      <c r="D17" s="568"/>
      <c r="E17" s="568"/>
      <c r="F17" s="569" t="s">
        <v>424</v>
      </c>
      <c r="G17" s="570" t="s">
        <v>425</v>
      </c>
      <c r="H17" s="568"/>
      <c r="I17" s="576">
        <v>48313</v>
      </c>
      <c r="J17" s="572"/>
      <c r="K17" s="573"/>
      <c r="L17" s="574"/>
      <c r="M17" s="574"/>
    </row>
    <row r="18" spans="1:13" s="92" customFormat="1" ht="12.75" customHeight="1">
      <c r="A18" s="558">
        <v>8</v>
      </c>
      <c r="B18" s="1549" t="s">
        <v>432</v>
      </c>
      <c r="C18" s="559" t="s">
        <v>2103</v>
      </c>
      <c r="D18" s="559">
        <v>0.5</v>
      </c>
      <c r="E18" s="559" t="s">
        <v>1978</v>
      </c>
      <c r="F18" s="560" t="s">
        <v>422</v>
      </c>
      <c r="G18" s="561" t="s">
        <v>404</v>
      </c>
      <c r="H18" s="559" t="s">
        <v>1975</v>
      </c>
      <c r="I18" s="575">
        <v>65480</v>
      </c>
      <c r="J18" s="563" t="s">
        <v>1975</v>
      </c>
      <c r="K18" s="564" t="s">
        <v>423</v>
      </c>
      <c r="L18" s="565">
        <v>0</v>
      </c>
      <c r="M18" s="565">
        <v>0</v>
      </c>
    </row>
    <row r="19" spans="1:13" s="92" customFormat="1" ht="12.75">
      <c r="A19" s="566"/>
      <c r="B19" s="1550"/>
      <c r="C19" s="568"/>
      <c r="D19" s="568"/>
      <c r="E19" s="568"/>
      <c r="F19" s="569" t="s">
        <v>424</v>
      </c>
      <c r="G19" s="570" t="s">
        <v>425</v>
      </c>
      <c r="H19" s="568"/>
      <c r="I19" s="576">
        <v>48183</v>
      </c>
      <c r="J19" s="572"/>
      <c r="K19" s="573"/>
      <c r="L19" s="574"/>
      <c r="M19" s="574"/>
    </row>
    <row r="20" spans="1:13" s="92" customFormat="1" ht="12.75" customHeight="1">
      <c r="A20" s="558">
        <v>9</v>
      </c>
      <c r="B20" s="1549" t="s">
        <v>481</v>
      </c>
      <c r="C20" s="559" t="s">
        <v>2103</v>
      </c>
      <c r="D20" s="559">
        <v>0.5</v>
      </c>
      <c r="E20" s="559" t="s">
        <v>1978</v>
      </c>
      <c r="F20" s="560" t="s">
        <v>422</v>
      </c>
      <c r="G20" s="561" t="s">
        <v>404</v>
      </c>
      <c r="H20" s="559" t="s">
        <v>1975</v>
      </c>
      <c r="I20" s="575">
        <v>4311</v>
      </c>
      <c r="J20" s="563" t="s">
        <v>1975</v>
      </c>
      <c r="K20" s="564" t="s">
        <v>423</v>
      </c>
      <c r="L20" s="565">
        <v>0</v>
      </c>
      <c r="M20" s="565">
        <v>0</v>
      </c>
    </row>
    <row r="21" spans="1:13" s="92" customFormat="1" ht="12.75">
      <c r="A21" s="566"/>
      <c r="B21" s="1550"/>
      <c r="C21" s="568"/>
      <c r="D21" s="568"/>
      <c r="E21" s="568"/>
      <c r="F21" s="569" t="s">
        <v>424</v>
      </c>
      <c r="G21" s="570" t="s">
        <v>425</v>
      </c>
      <c r="H21" s="568"/>
      <c r="I21" s="576">
        <v>3659</v>
      </c>
      <c r="J21" s="572"/>
      <c r="K21" s="573"/>
      <c r="L21" s="574"/>
      <c r="M21" s="574"/>
    </row>
    <row r="22" spans="1:13" s="92" customFormat="1" ht="12.75">
      <c r="A22" s="558">
        <v>10</v>
      </c>
      <c r="B22" s="560" t="s">
        <v>1976</v>
      </c>
      <c r="C22" s="559" t="s">
        <v>2103</v>
      </c>
      <c r="D22" s="559">
        <v>0.5</v>
      </c>
      <c r="E22" s="559" t="s">
        <v>1978</v>
      </c>
      <c r="F22" s="560" t="s">
        <v>422</v>
      </c>
      <c r="G22" s="561" t="s">
        <v>404</v>
      </c>
      <c r="H22" s="559" t="s">
        <v>1975</v>
      </c>
      <c r="I22" s="575">
        <v>296888</v>
      </c>
      <c r="J22" s="563" t="s">
        <v>1975</v>
      </c>
      <c r="K22" s="564" t="s">
        <v>423</v>
      </c>
      <c r="L22" s="565">
        <v>0</v>
      </c>
      <c r="M22" s="565">
        <v>0</v>
      </c>
    </row>
    <row r="23" spans="1:13" s="92" customFormat="1" ht="12.75">
      <c r="A23" s="566"/>
      <c r="B23" s="569" t="s">
        <v>482</v>
      </c>
      <c r="C23" s="568"/>
      <c r="D23" s="568"/>
      <c r="E23" s="568"/>
      <c r="F23" s="569" t="s">
        <v>424</v>
      </c>
      <c r="G23" s="570" t="s">
        <v>425</v>
      </c>
      <c r="H23" s="568"/>
      <c r="I23" s="576">
        <v>0</v>
      </c>
      <c r="J23" s="572"/>
      <c r="K23" s="573"/>
      <c r="L23" s="574"/>
      <c r="M23" s="574"/>
    </row>
    <row r="24" spans="1:13" s="92" customFormat="1" ht="12.75">
      <c r="A24" s="558">
        <v>11</v>
      </c>
      <c r="B24" s="560" t="s">
        <v>1976</v>
      </c>
      <c r="C24" s="559" t="s">
        <v>2103</v>
      </c>
      <c r="D24" s="559">
        <v>0.5</v>
      </c>
      <c r="E24" s="559" t="s">
        <v>1978</v>
      </c>
      <c r="F24" s="560" t="s">
        <v>422</v>
      </c>
      <c r="G24" s="561" t="s">
        <v>404</v>
      </c>
      <c r="H24" s="559" t="s">
        <v>1975</v>
      </c>
      <c r="I24" s="575">
        <v>296888</v>
      </c>
      <c r="J24" s="563" t="s">
        <v>1975</v>
      </c>
      <c r="K24" s="564" t="s">
        <v>423</v>
      </c>
      <c r="L24" s="565">
        <v>0</v>
      </c>
      <c r="M24" s="565">
        <v>0</v>
      </c>
    </row>
    <row r="25" spans="1:13" s="92" customFormat="1" ht="12.75">
      <c r="A25" s="566"/>
      <c r="B25" s="569" t="s">
        <v>483</v>
      </c>
      <c r="C25" s="568"/>
      <c r="D25" s="568"/>
      <c r="E25" s="568"/>
      <c r="F25" s="569" t="s">
        <v>424</v>
      </c>
      <c r="G25" s="570" t="s">
        <v>425</v>
      </c>
      <c r="H25" s="568"/>
      <c r="I25" s="576">
        <v>0</v>
      </c>
      <c r="J25" s="572"/>
      <c r="K25" s="573"/>
      <c r="L25" s="574"/>
      <c r="M25" s="574"/>
    </row>
    <row r="26" spans="1:13" s="92" customFormat="1" ht="12.75">
      <c r="A26" s="558">
        <v>12</v>
      </c>
      <c r="B26" s="560" t="s">
        <v>1976</v>
      </c>
      <c r="C26" s="559" t="s">
        <v>2103</v>
      </c>
      <c r="D26" s="559">
        <v>0.5</v>
      </c>
      <c r="E26" s="559" t="s">
        <v>1978</v>
      </c>
      <c r="F26" s="560" t="s">
        <v>422</v>
      </c>
      <c r="G26" s="561" t="s">
        <v>404</v>
      </c>
      <c r="H26" s="559" t="s">
        <v>1975</v>
      </c>
      <c r="I26" s="575">
        <v>296888</v>
      </c>
      <c r="J26" s="563" t="s">
        <v>1975</v>
      </c>
      <c r="K26" s="564" t="s">
        <v>423</v>
      </c>
      <c r="L26" s="565">
        <v>0</v>
      </c>
      <c r="M26" s="565">
        <v>0</v>
      </c>
    </row>
    <row r="27" spans="1:13" s="92" customFormat="1" ht="12.75">
      <c r="A27" s="566"/>
      <c r="B27" s="569" t="s">
        <v>484</v>
      </c>
      <c r="C27" s="568"/>
      <c r="D27" s="568"/>
      <c r="E27" s="568"/>
      <c r="F27" s="569" t="s">
        <v>424</v>
      </c>
      <c r="G27" s="570" t="s">
        <v>425</v>
      </c>
      <c r="H27" s="568"/>
      <c r="I27" s="576">
        <v>0</v>
      </c>
      <c r="J27" s="572"/>
      <c r="K27" s="573"/>
      <c r="L27" s="574"/>
      <c r="M27" s="574"/>
    </row>
    <row r="28" spans="1:13" s="92" customFormat="1" ht="12.75">
      <c r="A28" s="558">
        <v>13</v>
      </c>
      <c r="B28" s="560" t="s">
        <v>1976</v>
      </c>
      <c r="C28" s="559" t="s">
        <v>2103</v>
      </c>
      <c r="D28" s="559">
        <v>0.5</v>
      </c>
      <c r="E28" s="559" t="s">
        <v>1978</v>
      </c>
      <c r="F28" s="560" t="s">
        <v>422</v>
      </c>
      <c r="G28" s="561" t="s">
        <v>404</v>
      </c>
      <c r="H28" s="559" t="s">
        <v>1975</v>
      </c>
      <c r="I28" s="575">
        <v>296888</v>
      </c>
      <c r="J28" s="563" t="s">
        <v>1975</v>
      </c>
      <c r="K28" s="564" t="s">
        <v>423</v>
      </c>
      <c r="L28" s="565">
        <v>0</v>
      </c>
      <c r="M28" s="565">
        <v>0</v>
      </c>
    </row>
    <row r="29" spans="1:13" s="92" customFormat="1" ht="12.75">
      <c r="A29" s="566"/>
      <c r="B29" s="569" t="s">
        <v>485</v>
      </c>
      <c r="C29" s="568"/>
      <c r="D29" s="568"/>
      <c r="E29" s="568"/>
      <c r="F29" s="569" t="s">
        <v>424</v>
      </c>
      <c r="G29" s="570" t="s">
        <v>425</v>
      </c>
      <c r="H29" s="568"/>
      <c r="I29" s="576">
        <v>0</v>
      </c>
      <c r="J29" s="572"/>
      <c r="K29" s="573"/>
      <c r="L29" s="574"/>
      <c r="M29" s="574"/>
    </row>
    <row r="30" spans="1:13" s="92" customFormat="1" ht="12.75">
      <c r="A30" s="558">
        <v>14</v>
      </c>
      <c r="B30" s="560" t="s">
        <v>1976</v>
      </c>
      <c r="C30" s="559" t="s">
        <v>2103</v>
      </c>
      <c r="D30" s="559">
        <v>0.5</v>
      </c>
      <c r="E30" s="559" t="s">
        <v>1978</v>
      </c>
      <c r="F30" s="560" t="s">
        <v>422</v>
      </c>
      <c r="G30" s="561" t="s">
        <v>404</v>
      </c>
      <c r="H30" s="559" t="s">
        <v>1975</v>
      </c>
      <c r="I30" s="575">
        <v>296888</v>
      </c>
      <c r="J30" s="563" t="s">
        <v>1975</v>
      </c>
      <c r="K30" s="564" t="s">
        <v>423</v>
      </c>
      <c r="L30" s="565">
        <v>0</v>
      </c>
      <c r="M30" s="565">
        <v>0</v>
      </c>
    </row>
    <row r="31" spans="1:13" s="92" customFormat="1" ht="12.75">
      <c r="A31" s="566"/>
      <c r="B31" s="569" t="s">
        <v>2021</v>
      </c>
      <c r="C31" s="568"/>
      <c r="D31" s="568"/>
      <c r="E31" s="568"/>
      <c r="F31" s="569" t="s">
        <v>424</v>
      </c>
      <c r="G31" s="570" t="s">
        <v>425</v>
      </c>
      <c r="H31" s="568"/>
      <c r="I31" s="576">
        <v>0</v>
      </c>
      <c r="J31" s="572"/>
      <c r="K31" s="573"/>
      <c r="L31" s="574"/>
      <c r="M31" s="574"/>
    </row>
    <row r="32" spans="1:13" s="92" customFormat="1" ht="12.75">
      <c r="A32" s="558">
        <v>15</v>
      </c>
      <c r="B32" s="560" t="s">
        <v>1976</v>
      </c>
      <c r="C32" s="559" t="s">
        <v>2103</v>
      </c>
      <c r="D32" s="559">
        <v>0.5</v>
      </c>
      <c r="E32" s="559" t="s">
        <v>1978</v>
      </c>
      <c r="F32" s="560" t="s">
        <v>422</v>
      </c>
      <c r="G32" s="561" t="s">
        <v>404</v>
      </c>
      <c r="H32" s="559" t="s">
        <v>1975</v>
      </c>
      <c r="I32" s="575">
        <v>296888</v>
      </c>
      <c r="J32" s="563" t="s">
        <v>1975</v>
      </c>
      <c r="K32" s="564" t="s">
        <v>423</v>
      </c>
      <c r="L32" s="565">
        <v>0</v>
      </c>
      <c r="M32" s="565">
        <v>0</v>
      </c>
    </row>
    <row r="33" spans="1:13" s="92" customFormat="1" ht="12.75">
      <c r="A33" s="566"/>
      <c r="B33" s="569" t="s">
        <v>486</v>
      </c>
      <c r="C33" s="568"/>
      <c r="D33" s="568"/>
      <c r="E33" s="568"/>
      <c r="F33" s="569" t="s">
        <v>424</v>
      </c>
      <c r="G33" s="570" t="s">
        <v>425</v>
      </c>
      <c r="H33" s="568"/>
      <c r="I33" s="576">
        <v>0</v>
      </c>
      <c r="J33" s="572"/>
      <c r="K33" s="573"/>
      <c r="L33" s="574"/>
      <c r="M33" s="574"/>
    </row>
    <row r="34" spans="1:13" s="92" customFormat="1" ht="12.75">
      <c r="A34" s="558">
        <v>16</v>
      </c>
      <c r="B34" s="560" t="s">
        <v>1976</v>
      </c>
      <c r="C34" s="559" t="s">
        <v>2103</v>
      </c>
      <c r="D34" s="559">
        <v>0.5</v>
      </c>
      <c r="E34" s="559" t="s">
        <v>1978</v>
      </c>
      <c r="F34" s="560" t="s">
        <v>422</v>
      </c>
      <c r="G34" s="561" t="s">
        <v>404</v>
      </c>
      <c r="H34" s="559" t="s">
        <v>1975</v>
      </c>
      <c r="I34" s="575">
        <v>335250</v>
      </c>
      <c r="J34" s="563" t="s">
        <v>1975</v>
      </c>
      <c r="K34" s="564" t="s">
        <v>423</v>
      </c>
      <c r="L34" s="565">
        <v>0</v>
      </c>
      <c r="M34" s="565">
        <v>0</v>
      </c>
    </row>
    <row r="35" spans="1:13" s="92" customFormat="1" ht="12.75">
      <c r="A35" s="566"/>
      <c r="B35" s="569" t="s">
        <v>487</v>
      </c>
      <c r="C35" s="568"/>
      <c r="D35" s="568"/>
      <c r="E35" s="568"/>
      <c r="F35" s="569" t="s">
        <v>424</v>
      </c>
      <c r="G35" s="570" t="s">
        <v>425</v>
      </c>
      <c r="H35" s="568"/>
      <c r="I35" s="576">
        <v>0</v>
      </c>
      <c r="J35" s="572"/>
      <c r="K35" s="573"/>
      <c r="L35" s="574"/>
      <c r="M35" s="574"/>
    </row>
    <row r="36" spans="1:13" s="92" customFormat="1" ht="12.75">
      <c r="A36" s="558">
        <v>17</v>
      </c>
      <c r="B36" s="560" t="s">
        <v>1976</v>
      </c>
      <c r="C36" s="559" t="s">
        <v>2103</v>
      </c>
      <c r="D36" s="559">
        <v>0.5</v>
      </c>
      <c r="E36" s="559" t="s">
        <v>488</v>
      </c>
      <c r="F36" s="560" t="s">
        <v>422</v>
      </c>
      <c r="G36" s="561" t="s">
        <v>404</v>
      </c>
      <c r="H36" s="559" t="s">
        <v>1975</v>
      </c>
      <c r="I36" s="575">
        <v>5028</v>
      </c>
      <c r="J36" s="563" t="s">
        <v>1975</v>
      </c>
      <c r="K36" s="564" t="s">
        <v>423</v>
      </c>
      <c r="L36" s="565">
        <v>0</v>
      </c>
      <c r="M36" s="565">
        <v>0</v>
      </c>
    </row>
    <row r="37" spans="1:13" s="92" customFormat="1" ht="12.75">
      <c r="A37" s="566"/>
      <c r="B37" s="568" t="s">
        <v>489</v>
      </c>
      <c r="C37" s="568"/>
      <c r="D37" s="568"/>
      <c r="E37" s="568"/>
      <c r="F37" s="569" t="s">
        <v>490</v>
      </c>
      <c r="G37" s="570" t="s">
        <v>425</v>
      </c>
      <c r="H37" s="568"/>
      <c r="I37" s="576">
        <v>12396</v>
      </c>
      <c r="J37" s="572"/>
      <c r="K37" s="573"/>
      <c r="L37" s="574"/>
      <c r="M37" s="574"/>
    </row>
    <row r="38" spans="1:13" s="92" customFormat="1" ht="12.75">
      <c r="A38" s="558">
        <v>18</v>
      </c>
      <c r="B38" s="560" t="s">
        <v>1976</v>
      </c>
      <c r="C38" s="559" t="s">
        <v>1777</v>
      </c>
      <c r="D38" s="559">
        <v>1</v>
      </c>
      <c r="E38" s="559">
        <v>1</v>
      </c>
      <c r="F38" s="560" t="s">
        <v>422</v>
      </c>
      <c r="G38" s="561" t="s">
        <v>404</v>
      </c>
      <c r="H38" s="559" t="s">
        <v>1975</v>
      </c>
      <c r="I38" s="575">
        <v>69446</v>
      </c>
      <c r="J38" s="563" t="s">
        <v>1975</v>
      </c>
      <c r="K38" s="564" t="s">
        <v>373</v>
      </c>
      <c r="L38" s="565">
        <v>0</v>
      </c>
      <c r="M38" s="565">
        <v>0</v>
      </c>
    </row>
    <row r="39" spans="1:13" s="92" customFormat="1" ht="12.75">
      <c r="A39" s="566"/>
      <c r="B39" s="569" t="s">
        <v>491</v>
      </c>
      <c r="C39" s="568"/>
      <c r="D39" s="568"/>
      <c r="E39" s="568"/>
      <c r="F39" s="569" t="s">
        <v>492</v>
      </c>
      <c r="G39" s="570" t="s">
        <v>425</v>
      </c>
      <c r="H39" s="568"/>
      <c r="I39" s="576">
        <v>0</v>
      </c>
      <c r="J39" s="572"/>
      <c r="K39" s="573"/>
      <c r="L39" s="574"/>
      <c r="M39" s="574"/>
    </row>
    <row r="40" spans="1:13" s="92" customFormat="1" ht="12.75">
      <c r="A40" s="558">
        <v>19</v>
      </c>
      <c r="B40" s="560" t="s">
        <v>1976</v>
      </c>
      <c r="C40" s="559" t="s">
        <v>1777</v>
      </c>
      <c r="D40" s="559">
        <v>1</v>
      </c>
      <c r="E40" s="559">
        <v>1</v>
      </c>
      <c r="F40" s="560" t="s">
        <v>422</v>
      </c>
      <c r="G40" s="561" t="s">
        <v>404</v>
      </c>
      <c r="H40" s="559" t="s">
        <v>1975</v>
      </c>
      <c r="I40" s="575">
        <v>69446</v>
      </c>
      <c r="J40" s="563" t="s">
        <v>1975</v>
      </c>
      <c r="K40" s="564" t="s">
        <v>373</v>
      </c>
      <c r="L40" s="565">
        <v>0</v>
      </c>
      <c r="M40" s="565">
        <v>0</v>
      </c>
    </row>
    <row r="41" spans="1:13" s="92" customFormat="1" ht="12.75">
      <c r="A41" s="566"/>
      <c r="B41" s="569" t="s">
        <v>493</v>
      </c>
      <c r="C41" s="568"/>
      <c r="D41" s="568"/>
      <c r="E41" s="568"/>
      <c r="F41" s="569" t="s">
        <v>492</v>
      </c>
      <c r="G41" s="570" t="s">
        <v>425</v>
      </c>
      <c r="H41" s="568"/>
      <c r="I41" s="576">
        <v>0</v>
      </c>
      <c r="J41" s="572"/>
      <c r="K41" s="573"/>
      <c r="L41" s="574"/>
      <c r="M41" s="574"/>
    </row>
    <row r="42" spans="1:13" s="92" customFormat="1" ht="12.75">
      <c r="A42" s="558">
        <v>20</v>
      </c>
      <c r="B42" s="560" t="s">
        <v>1976</v>
      </c>
      <c r="C42" s="559" t="s">
        <v>1777</v>
      </c>
      <c r="D42" s="559">
        <v>1</v>
      </c>
      <c r="E42" s="559">
        <v>1</v>
      </c>
      <c r="F42" s="560" t="s">
        <v>422</v>
      </c>
      <c r="G42" s="561" t="s">
        <v>404</v>
      </c>
      <c r="H42" s="559" t="s">
        <v>1975</v>
      </c>
      <c r="I42" s="575">
        <v>69446</v>
      </c>
      <c r="J42" s="563" t="s">
        <v>1975</v>
      </c>
      <c r="K42" s="564" t="s">
        <v>373</v>
      </c>
      <c r="L42" s="565">
        <v>0</v>
      </c>
      <c r="M42" s="565">
        <v>0</v>
      </c>
    </row>
    <row r="43" spans="1:13" s="92" customFormat="1" ht="12.75">
      <c r="A43" s="566"/>
      <c r="B43" s="569" t="s">
        <v>494</v>
      </c>
      <c r="C43" s="568"/>
      <c r="D43" s="568"/>
      <c r="E43" s="568"/>
      <c r="F43" s="569" t="s">
        <v>492</v>
      </c>
      <c r="G43" s="570" t="s">
        <v>425</v>
      </c>
      <c r="H43" s="568"/>
      <c r="I43" s="576">
        <v>0</v>
      </c>
      <c r="J43" s="572"/>
      <c r="K43" s="573"/>
      <c r="L43" s="574"/>
      <c r="M43" s="574"/>
    </row>
    <row r="44" spans="1:13" s="92" customFormat="1" ht="12.75">
      <c r="A44" s="558">
        <v>21</v>
      </c>
      <c r="B44" s="560" t="s">
        <v>1976</v>
      </c>
      <c r="C44" s="559" t="s">
        <v>1777</v>
      </c>
      <c r="D44" s="559">
        <v>1</v>
      </c>
      <c r="E44" s="559">
        <v>1</v>
      </c>
      <c r="F44" s="560" t="s">
        <v>422</v>
      </c>
      <c r="G44" s="561" t="s">
        <v>404</v>
      </c>
      <c r="H44" s="559" t="s">
        <v>1975</v>
      </c>
      <c r="I44" s="575">
        <v>69446</v>
      </c>
      <c r="J44" s="563" t="s">
        <v>1975</v>
      </c>
      <c r="K44" s="564" t="s">
        <v>373</v>
      </c>
      <c r="L44" s="565">
        <v>0</v>
      </c>
      <c r="M44" s="565">
        <v>0</v>
      </c>
    </row>
    <row r="45" spans="1:13" s="92" customFormat="1" ht="12.75">
      <c r="A45" s="566"/>
      <c r="B45" s="569" t="s">
        <v>495</v>
      </c>
      <c r="C45" s="568"/>
      <c r="D45" s="568"/>
      <c r="E45" s="568"/>
      <c r="F45" s="569" t="s">
        <v>492</v>
      </c>
      <c r="G45" s="570" t="s">
        <v>425</v>
      </c>
      <c r="H45" s="568"/>
      <c r="I45" s="576">
        <v>0</v>
      </c>
      <c r="J45" s="572"/>
      <c r="K45" s="573"/>
      <c r="L45" s="574"/>
      <c r="M45" s="574"/>
    </row>
    <row r="46" spans="1:13" s="92" customFormat="1" ht="12.75">
      <c r="A46" s="558">
        <v>22</v>
      </c>
      <c r="B46" s="560" t="s">
        <v>1976</v>
      </c>
      <c r="C46" s="559" t="s">
        <v>1777</v>
      </c>
      <c r="D46" s="559">
        <v>1</v>
      </c>
      <c r="E46" s="559">
        <v>1</v>
      </c>
      <c r="F46" s="560" t="s">
        <v>422</v>
      </c>
      <c r="G46" s="561" t="s">
        <v>404</v>
      </c>
      <c r="H46" s="559" t="s">
        <v>1975</v>
      </c>
      <c r="I46" s="575">
        <v>69446</v>
      </c>
      <c r="J46" s="563" t="s">
        <v>1975</v>
      </c>
      <c r="K46" s="564" t="s">
        <v>373</v>
      </c>
      <c r="L46" s="565">
        <v>0</v>
      </c>
      <c r="M46" s="565">
        <v>0</v>
      </c>
    </row>
    <row r="47" spans="1:13" s="92" customFormat="1" ht="12.75">
      <c r="A47" s="566"/>
      <c r="B47" s="569" t="s">
        <v>496</v>
      </c>
      <c r="C47" s="568"/>
      <c r="D47" s="568"/>
      <c r="E47" s="568"/>
      <c r="F47" s="569" t="s">
        <v>492</v>
      </c>
      <c r="G47" s="570" t="s">
        <v>425</v>
      </c>
      <c r="H47" s="568"/>
      <c r="I47" s="576">
        <v>0</v>
      </c>
      <c r="J47" s="572"/>
      <c r="K47" s="573"/>
      <c r="L47" s="574"/>
      <c r="M47" s="574"/>
    </row>
    <row r="48" spans="1:13" s="92" customFormat="1" ht="12.75">
      <c r="A48" s="558">
        <v>23</v>
      </c>
      <c r="B48" s="560" t="s">
        <v>1976</v>
      </c>
      <c r="C48" s="559" t="s">
        <v>1777</v>
      </c>
      <c r="D48" s="559">
        <v>1</v>
      </c>
      <c r="E48" s="559">
        <v>1</v>
      </c>
      <c r="F48" s="560" t="s">
        <v>422</v>
      </c>
      <c r="G48" s="561" t="s">
        <v>404</v>
      </c>
      <c r="H48" s="559" t="s">
        <v>1975</v>
      </c>
      <c r="I48" s="575">
        <v>59703</v>
      </c>
      <c r="J48" s="563" t="s">
        <v>1975</v>
      </c>
      <c r="K48" s="564" t="s">
        <v>373</v>
      </c>
      <c r="L48" s="565">
        <v>0</v>
      </c>
      <c r="M48" s="565">
        <v>0</v>
      </c>
    </row>
    <row r="49" spans="1:13" s="92" customFormat="1" ht="12.75">
      <c r="A49" s="566"/>
      <c r="B49" s="569" t="s">
        <v>497</v>
      </c>
      <c r="C49" s="568"/>
      <c r="D49" s="568"/>
      <c r="E49" s="568"/>
      <c r="F49" s="569" t="s">
        <v>492</v>
      </c>
      <c r="G49" s="570" t="s">
        <v>425</v>
      </c>
      <c r="H49" s="568"/>
      <c r="I49" s="576">
        <v>0</v>
      </c>
      <c r="J49" s="572"/>
      <c r="K49" s="573"/>
      <c r="L49" s="574"/>
      <c r="M49" s="574"/>
    </row>
    <row r="50" spans="1:13" s="92" customFormat="1" ht="12.75">
      <c r="A50" s="558">
        <v>24</v>
      </c>
      <c r="B50" s="560" t="s">
        <v>1976</v>
      </c>
      <c r="C50" s="559" t="s">
        <v>1977</v>
      </c>
      <c r="D50" s="559">
        <v>1</v>
      </c>
      <c r="E50" s="559">
        <v>1</v>
      </c>
      <c r="F50" s="560" t="s">
        <v>422</v>
      </c>
      <c r="G50" s="561" t="s">
        <v>404</v>
      </c>
      <c r="H50" s="559" t="s">
        <v>1975</v>
      </c>
      <c r="I50" s="575">
        <v>766</v>
      </c>
      <c r="J50" s="563" t="s">
        <v>1975</v>
      </c>
      <c r="K50" s="564" t="s">
        <v>373</v>
      </c>
      <c r="L50" s="565">
        <v>0</v>
      </c>
      <c r="M50" s="565">
        <v>0</v>
      </c>
    </row>
    <row r="51" spans="1:13" s="92" customFormat="1" ht="12.75">
      <c r="A51" s="566"/>
      <c r="B51" s="568" t="s">
        <v>498</v>
      </c>
      <c r="C51" s="568"/>
      <c r="D51" s="568"/>
      <c r="E51" s="568"/>
      <c r="F51" s="569" t="s">
        <v>492</v>
      </c>
      <c r="G51" s="570" t="s">
        <v>425</v>
      </c>
      <c r="H51" s="568"/>
      <c r="I51" s="576">
        <v>0</v>
      </c>
      <c r="J51" s="572"/>
      <c r="K51" s="573"/>
      <c r="L51" s="574"/>
      <c r="M51" s="574"/>
    </row>
    <row r="52" spans="1:13" s="92" customFormat="1" ht="12.75">
      <c r="A52" s="558">
        <v>25</v>
      </c>
      <c r="B52" s="560" t="s">
        <v>1976</v>
      </c>
      <c r="C52" s="559" t="s">
        <v>1977</v>
      </c>
      <c r="D52" s="559">
        <v>1</v>
      </c>
      <c r="E52" s="559">
        <v>1</v>
      </c>
      <c r="F52" s="560" t="s">
        <v>422</v>
      </c>
      <c r="G52" s="561" t="s">
        <v>404</v>
      </c>
      <c r="H52" s="559" t="s">
        <v>1975</v>
      </c>
      <c r="I52" s="575">
        <v>766</v>
      </c>
      <c r="J52" s="563" t="s">
        <v>1975</v>
      </c>
      <c r="K52" s="564" t="s">
        <v>373</v>
      </c>
      <c r="L52" s="565">
        <v>0</v>
      </c>
      <c r="M52" s="565">
        <v>0</v>
      </c>
    </row>
    <row r="53" spans="1:13" s="92" customFormat="1" ht="12.75">
      <c r="A53" s="566"/>
      <c r="B53" s="568" t="s">
        <v>499</v>
      </c>
      <c r="C53" s="568"/>
      <c r="D53" s="568"/>
      <c r="E53" s="568"/>
      <c r="F53" s="569" t="s">
        <v>492</v>
      </c>
      <c r="G53" s="570" t="s">
        <v>425</v>
      </c>
      <c r="H53" s="568"/>
      <c r="I53" s="576">
        <v>0</v>
      </c>
      <c r="J53" s="572"/>
      <c r="K53" s="573"/>
      <c r="L53" s="574"/>
      <c r="M53" s="574"/>
    </row>
    <row r="54" spans="1:13" s="92" customFormat="1" ht="12.75">
      <c r="A54" s="558">
        <v>26</v>
      </c>
      <c r="B54" s="560" t="s">
        <v>1976</v>
      </c>
      <c r="C54" s="559" t="s">
        <v>1977</v>
      </c>
      <c r="D54" s="559">
        <v>1</v>
      </c>
      <c r="E54" s="559">
        <v>1</v>
      </c>
      <c r="F54" s="560" t="s">
        <v>422</v>
      </c>
      <c r="G54" s="561" t="s">
        <v>404</v>
      </c>
      <c r="H54" s="559" t="s">
        <v>1975</v>
      </c>
      <c r="I54" s="575">
        <v>766</v>
      </c>
      <c r="J54" s="563" t="s">
        <v>1975</v>
      </c>
      <c r="K54" s="564" t="s">
        <v>373</v>
      </c>
      <c r="L54" s="565">
        <v>0</v>
      </c>
      <c r="M54" s="565">
        <v>0</v>
      </c>
    </row>
    <row r="55" spans="1:13" s="92" customFormat="1" ht="12.75">
      <c r="A55" s="566"/>
      <c r="B55" s="568" t="s">
        <v>500</v>
      </c>
      <c r="C55" s="568"/>
      <c r="D55" s="568"/>
      <c r="E55" s="568"/>
      <c r="F55" s="569" t="s">
        <v>492</v>
      </c>
      <c r="G55" s="570" t="s">
        <v>425</v>
      </c>
      <c r="H55" s="568"/>
      <c r="I55" s="576">
        <v>0</v>
      </c>
      <c r="J55" s="572"/>
      <c r="K55" s="573"/>
      <c r="L55" s="574"/>
      <c r="M55" s="574"/>
    </row>
    <row r="56" spans="1:13" s="92" customFormat="1" ht="12.75">
      <c r="A56" s="558">
        <v>27</v>
      </c>
      <c r="B56" s="560" t="s">
        <v>1976</v>
      </c>
      <c r="C56" s="559" t="s">
        <v>1977</v>
      </c>
      <c r="D56" s="559">
        <v>1</v>
      </c>
      <c r="E56" s="559">
        <v>1</v>
      </c>
      <c r="F56" s="560" t="s">
        <v>422</v>
      </c>
      <c r="G56" s="561" t="s">
        <v>404</v>
      </c>
      <c r="H56" s="559" t="s">
        <v>1975</v>
      </c>
      <c r="I56" s="575">
        <v>766</v>
      </c>
      <c r="J56" s="563" t="s">
        <v>1975</v>
      </c>
      <c r="K56" s="564" t="s">
        <v>373</v>
      </c>
      <c r="L56" s="565">
        <v>0</v>
      </c>
      <c r="M56" s="565">
        <v>0</v>
      </c>
    </row>
    <row r="57" spans="1:13" s="92" customFormat="1" ht="12.75">
      <c r="A57" s="566"/>
      <c r="B57" s="568" t="s">
        <v>501</v>
      </c>
      <c r="C57" s="568"/>
      <c r="D57" s="568"/>
      <c r="E57" s="568"/>
      <c r="F57" s="569" t="s">
        <v>492</v>
      </c>
      <c r="G57" s="570" t="s">
        <v>425</v>
      </c>
      <c r="H57" s="568"/>
      <c r="I57" s="576">
        <v>0</v>
      </c>
      <c r="J57" s="572"/>
      <c r="K57" s="573"/>
      <c r="L57" s="574"/>
      <c r="M57" s="574"/>
    </row>
    <row r="58" spans="1:13" s="92" customFormat="1" ht="12.75">
      <c r="A58" s="558">
        <v>28</v>
      </c>
      <c r="B58" s="560" t="s">
        <v>1976</v>
      </c>
      <c r="C58" s="559" t="s">
        <v>1977</v>
      </c>
      <c r="D58" s="559">
        <v>1</v>
      </c>
      <c r="E58" s="559">
        <v>1</v>
      </c>
      <c r="F58" s="560" t="s">
        <v>422</v>
      </c>
      <c r="G58" s="561" t="s">
        <v>404</v>
      </c>
      <c r="H58" s="559" t="s">
        <v>1975</v>
      </c>
      <c r="I58" s="575">
        <v>766</v>
      </c>
      <c r="J58" s="563" t="s">
        <v>1975</v>
      </c>
      <c r="K58" s="564" t="s">
        <v>373</v>
      </c>
      <c r="L58" s="565">
        <v>0</v>
      </c>
      <c r="M58" s="565">
        <v>0</v>
      </c>
    </row>
    <row r="59" spans="1:13" s="92" customFormat="1" ht="12.75">
      <c r="A59" s="566"/>
      <c r="B59" s="568" t="s">
        <v>502</v>
      </c>
      <c r="C59" s="568"/>
      <c r="D59" s="568"/>
      <c r="E59" s="568"/>
      <c r="F59" s="569" t="s">
        <v>492</v>
      </c>
      <c r="G59" s="570" t="s">
        <v>425</v>
      </c>
      <c r="H59" s="568"/>
      <c r="I59" s="576">
        <v>0</v>
      </c>
      <c r="J59" s="572"/>
      <c r="K59" s="573"/>
      <c r="L59" s="574"/>
      <c r="M59" s="574"/>
    </row>
    <row r="60" spans="1:13" s="92" customFormat="1" ht="12.75">
      <c r="A60" s="558">
        <v>29</v>
      </c>
      <c r="B60" s="560" t="s">
        <v>1976</v>
      </c>
      <c r="C60" s="559" t="s">
        <v>1977</v>
      </c>
      <c r="D60" s="559">
        <v>1</v>
      </c>
      <c r="E60" s="559">
        <v>1</v>
      </c>
      <c r="F60" s="560" t="s">
        <v>422</v>
      </c>
      <c r="G60" s="561" t="s">
        <v>404</v>
      </c>
      <c r="H60" s="559" t="s">
        <v>1975</v>
      </c>
      <c r="I60" s="575">
        <v>766</v>
      </c>
      <c r="J60" s="563" t="s">
        <v>1975</v>
      </c>
      <c r="K60" s="564" t="s">
        <v>373</v>
      </c>
      <c r="L60" s="565">
        <v>0</v>
      </c>
      <c r="M60" s="565">
        <v>0</v>
      </c>
    </row>
    <row r="61" spans="1:13" s="92" customFormat="1" ht="12.75">
      <c r="A61" s="566"/>
      <c r="B61" s="568" t="s">
        <v>503</v>
      </c>
      <c r="C61" s="568"/>
      <c r="D61" s="568"/>
      <c r="E61" s="568"/>
      <c r="F61" s="569" t="s">
        <v>492</v>
      </c>
      <c r="G61" s="570" t="s">
        <v>425</v>
      </c>
      <c r="H61" s="568"/>
      <c r="I61" s="576">
        <v>0</v>
      </c>
      <c r="J61" s="572"/>
      <c r="K61" s="573"/>
      <c r="L61" s="574"/>
      <c r="M61" s="574"/>
    </row>
    <row r="62" spans="1:13" s="92" customFormat="1" ht="12.75">
      <c r="A62" s="558">
        <v>30</v>
      </c>
      <c r="B62" s="560" t="s">
        <v>1976</v>
      </c>
      <c r="C62" s="559" t="s">
        <v>1977</v>
      </c>
      <c r="D62" s="559">
        <v>1</v>
      </c>
      <c r="E62" s="559">
        <v>1</v>
      </c>
      <c r="F62" s="560" t="s">
        <v>422</v>
      </c>
      <c r="G62" s="561" t="s">
        <v>404</v>
      </c>
      <c r="H62" s="559" t="s">
        <v>1975</v>
      </c>
      <c r="I62" s="575">
        <v>553</v>
      </c>
      <c r="J62" s="563" t="s">
        <v>1975</v>
      </c>
      <c r="K62" s="564" t="s">
        <v>373</v>
      </c>
      <c r="L62" s="565">
        <v>0</v>
      </c>
      <c r="M62" s="565">
        <v>0</v>
      </c>
    </row>
    <row r="63" spans="1:13" s="92" customFormat="1" ht="12.75">
      <c r="A63" s="566"/>
      <c r="B63" s="568" t="s">
        <v>504</v>
      </c>
      <c r="C63" s="568"/>
      <c r="D63" s="568"/>
      <c r="E63" s="568"/>
      <c r="F63" s="569" t="s">
        <v>492</v>
      </c>
      <c r="G63" s="570" t="s">
        <v>425</v>
      </c>
      <c r="H63" s="568"/>
      <c r="I63" s="576">
        <v>0</v>
      </c>
      <c r="J63" s="572"/>
      <c r="K63" s="573"/>
      <c r="L63" s="574"/>
      <c r="M63" s="574"/>
    </row>
    <row r="64" spans="1:13" s="92" customFormat="1" ht="12.75">
      <c r="A64" s="558">
        <v>31</v>
      </c>
      <c r="B64" s="560" t="s">
        <v>1976</v>
      </c>
      <c r="C64" s="559" t="s">
        <v>1977</v>
      </c>
      <c r="D64" s="559">
        <v>1</v>
      </c>
      <c r="E64" s="559">
        <v>1</v>
      </c>
      <c r="F64" s="560" t="s">
        <v>422</v>
      </c>
      <c r="G64" s="561" t="s">
        <v>404</v>
      </c>
      <c r="H64" s="559" t="s">
        <v>1975</v>
      </c>
      <c r="I64" s="575">
        <v>39</v>
      </c>
      <c r="J64" s="563" t="s">
        <v>1975</v>
      </c>
      <c r="K64" s="564" t="s">
        <v>373</v>
      </c>
      <c r="L64" s="565">
        <v>0</v>
      </c>
      <c r="M64" s="565">
        <v>0</v>
      </c>
    </row>
    <row r="65" spans="1:13" s="92" customFormat="1" ht="12.75">
      <c r="A65" s="566"/>
      <c r="B65" s="568" t="s">
        <v>505</v>
      </c>
      <c r="C65" s="568"/>
      <c r="D65" s="568"/>
      <c r="E65" s="568"/>
      <c r="F65" s="569" t="s">
        <v>492</v>
      </c>
      <c r="G65" s="570" t="s">
        <v>425</v>
      </c>
      <c r="H65" s="568"/>
      <c r="I65" s="576">
        <v>0</v>
      </c>
      <c r="J65" s="572"/>
      <c r="K65" s="573"/>
      <c r="L65" s="574"/>
      <c r="M65" s="574"/>
    </row>
    <row r="66" spans="1:13" s="92" customFormat="1" ht="12.75">
      <c r="A66" s="558">
        <v>32</v>
      </c>
      <c r="B66" s="559" t="s">
        <v>506</v>
      </c>
      <c r="C66" s="559" t="s">
        <v>2103</v>
      </c>
      <c r="D66" s="559">
        <v>0.5</v>
      </c>
      <c r="E66" s="559" t="s">
        <v>1978</v>
      </c>
      <c r="F66" s="560" t="s">
        <v>422</v>
      </c>
      <c r="G66" s="561" t="s">
        <v>404</v>
      </c>
      <c r="H66" s="559" t="s">
        <v>1975</v>
      </c>
      <c r="I66" s="575">
        <v>37571</v>
      </c>
      <c r="J66" s="563" t="s">
        <v>1975</v>
      </c>
      <c r="K66" s="564" t="s">
        <v>423</v>
      </c>
      <c r="L66" s="565">
        <v>0</v>
      </c>
      <c r="M66" s="565">
        <v>0</v>
      </c>
    </row>
    <row r="67" spans="1:13" s="92" customFormat="1" ht="12.75">
      <c r="A67" s="566"/>
      <c r="B67" s="569" t="s">
        <v>2015</v>
      </c>
      <c r="C67" s="568"/>
      <c r="D67" s="568"/>
      <c r="E67" s="568"/>
      <c r="F67" s="569" t="s">
        <v>424</v>
      </c>
      <c r="G67" s="570" t="s">
        <v>425</v>
      </c>
      <c r="H67" s="568"/>
      <c r="I67" s="576">
        <v>0</v>
      </c>
      <c r="J67" s="572"/>
      <c r="K67" s="573"/>
      <c r="L67" s="574"/>
      <c r="M67" s="574"/>
    </row>
    <row r="68" spans="1:13" s="92" customFormat="1" ht="12.75">
      <c r="A68" s="558">
        <v>33</v>
      </c>
      <c r="B68" s="559" t="s">
        <v>506</v>
      </c>
      <c r="C68" s="559" t="s">
        <v>2103</v>
      </c>
      <c r="D68" s="559">
        <v>0.5</v>
      </c>
      <c r="E68" s="559" t="s">
        <v>1978</v>
      </c>
      <c r="F68" s="560" t="s">
        <v>422</v>
      </c>
      <c r="G68" s="561" t="s">
        <v>404</v>
      </c>
      <c r="H68" s="559" t="s">
        <v>1975</v>
      </c>
      <c r="I68" s="575">
        <v>37571</v>
      </c>
      <c r="J68" s="563" t="s">
        <v>1975</v>
      </c>
      <c r="K68" s="564" t="s">
        <v>423</v>
      </c>
      <c r="L68" s="565">
        <v>0</v>
      </c>
      <c r="M68" s="565">
        <v>0</v>
      </c>
    </row>
    <row r="69" spans="1:13" s="92" customFormat="1" ht="12.75">
      <c r="A69" s="566"/>
      <c r="B69" s="569" t="s">
        <v>507</v>
      </c>
      <c r="C69" s="568"/>
      <c r="D69" s="568"/>
      <c r="E69" s="568"/>
      <c r="F69" s="569" t="s">
        <v>424</v>
      </c>
      <c r="G69" s="570" t="s">
        <v>425</v>
      </c>
      <c r="H69" s="568"/>
      <c r="I69" s="576">
        <v>0</v>
      </c>
      <c r="J69" s="572"/>
      <c r="K69" s="573"/>
      <c r="L69" s="574"/>
      <c r="M69" s="574"/>
    </row>
    <row r="70" spans="1:13" s="92" customFormat="1" ht="12.75">
      <c r="A70" s="558">
        <v>34</v>
      </c>
      <c r="B70" s="559" t="s">
        <v>506</v>
      </c>
      <c r="C70" s="559" t="s">
        <v>2103</v>
      </c>
      <c r="D70" s="559">
        <v>0.5</v>
      </c>
      <c r="E70" s="559" t="s">
        <v>1978</v>
      </c>
      <c r="F70" s="560" t="s">
        <v>422</v>
      </c>
      <c r="G70" s="561" t="s">
        <v>404</v>
      </c>
      <c r="H70" s="559" t="s">
        <v>1975</v>
      </c>
      <c r="I70" s="575">
        <v>37571</v>
      </c>
      <c r="J70" s="563" t="s">
        <v>1975</v>
      </c>
      <c r="K70" s="564" t="s">
        <v>423</v>
      </c>
      <c r="L70" s="565">
        <v>0</v>
      </c>
      <c r="M70" s="565">
        <v>0</v>
      </c>
    </row>
    <row r="71" spans="1:13" s="92" customFormat="1" ht="12.75">
      <c r="A71" s="566"/>
      <c r="B71" s="569" t="s">
        <v>508</v>
      </c>
      <c r="C71" s="568"/>
      <c r="D71" s="568"/>
      <c r="E71" s="568"/>
      <c r="F71" s="569" t="s">
        <v>424</v>
      </c>
      <c r="G71" s="570" t="s">
        <v>425</v>
      </c>
      <c r="H71" s="568"/>
      <c r="I71" s="576">
        <v>0</v>
      </c>
      <c r="J71" s="572"/>
      <c r="K71" s="573"/>
      <c r="L71" s="574"/>
      <c r="M71" s="574"/>
    </row>
    <row r="72" spans="1:13" s="92" customFormat="1" ht="12.75">
      <c r="A72" s="558">
        <v>35</v>
      </c>
      <c r="B72" s="559" t="s">
        <v>506</v>
      </c>
      <c r="C72" s="559" t="s">
        <v>2103</v>
      </c>
      <c r="D72" s="559">
        <v>0.5</v>
      </c>
      <c r="E72" s="559" t="s">
        <v>1978</v>
      </c>
      <c r="F72" s="560" t="s">
        <v>422</v>
      </c>
      <c r="G72" s="561" t="s">
        <v>404</v>
      </c>
      <c r="H72" s="559" t="s">
        <v>1975</v>
      </c>
      <c r="I72" s="575">
        <v>27669</v>
      </c>
      <c r="J72" s="563" t="s">
        <v>1975</v>
      </c>
      <c r="K72" s="564" t="s">
        <v>423</v>
      </c>
      <c r="L72" s="565">
        <v>0</v>
      </c>
      <c r="M72" s="565">
        <v>0</v>
      </c>
    </row>
    <row r="73" spans="1:13" s="92" customFormat="1" ht="12.75">
      <c r="A73" s="566"/>
      <c r="B73" s="569" t="s">
        <v>509</v>
      </c>
      <c r="C73" s="568"/>
      <c r="D73" s="568"/>
      <c r="E73" s="568"/>
      <c r="F73" s="569" t="s">
        <v>424</v>
      </c>
      <c r="G73" s="570" t="s">
        <v>425</v>
      </c>
      <c r="H73" s="568"/>
      <c r="I73" s="576">
        <v>0</v>
      </c>
      <c r="J73" s="572"/>
      <c r="K73" s="573"/>
      <c r="L73" s="574"/>
      <c r="M73" s="574"/>
    </row>
    <row r="74" spans="1:13" s="92" customFormat="1" ht="12.75">
      <c r="A74" s="558">
        <v>36</v>
      </c>
      <c r="B74" s="559" t="s">
        <v>506</v>
      </c>
      <c r="C74" s="559" t="s">
        <v>2103</v>
      </c>
      <c r="D74" s="559">
        <v>0.5</v>
      </c>
      <c r="E74" s="559" t="s">
        <v>1978</v>
      </c>
      <c r="F74" s="560" t="s">
        <v>422</v>
      </c>
      <c r="G74" s="561" t="s">
        <v>404</v>
      </c>
      <c r="H74" s="559" t="s">
        <v>1975</v>
      </c>
      <c r="I74" s="575">
        <v>9</v>
      </c>
      <c r="J74" s="563" t="s">
        <v>1975</v>
      </c>
      <c r="K74" s="564" t="s">
        <v>423</v>
      </c>
      <c r="L74" s="565">
        <v>0</v>
      </c>
      <c r="M74" s="565">
        <v>0</v>
      </c>
    </row>
    <row r="75" spans="1:13" s="92" customFormat="1" ht="12.75">
      <c r="A75" s="566"/>
      <c r="B75" s="568" t="s">
        <v>489</v>
      </c>
      <c r="C75" s="568"/>
      <c r="D75" s="568"/>
      <c r="E75" s="568"/>
      <c r="F75" s="569" t="s">
        <v>424</v>
      </c>
      <c r="G75" s="570" t="s">
        <v>425</v>
      </c>
      <c r="H75" s="568"/>
      <c r="I75" s="576">
        <v>1682</v>
      </c>
      <c r="J75" s="572"/>
      <c r="K75" s="573"/>
      <c r="L75" s="574"/>
      <c r="M75" s="574"/>
    </row>
    <row r="76" spans="1:13" s="92" customFormat="1" ht="12.75">
      <c r="A76" s="558">
        <v>37</v>
      </c>
      <c r="B76" s="559" t="s">
        <v>510</v>
      </c>
      <c r="C76" s="559" t="s">
        <v>2103</v>
      </c>
      <c r="D76" s="559">
        <v>0.5</v>
      </c>
      <c r="E76" s="559" t="s">
        <v>1978</v>
      </c>
      <c r="F76" s="560" t="s">
        <v>511</v>
      </c>
      <c r="G76" s="561" t="s">
        <v>512</v>
      </c>
      <c r="H76" s="559" t="s">
        <v>1975</v>
      </c>
      <c r="I76" s="575">
        <v>45779</v>
      </c>
      <c r="J76" s="563" t="s">
        <v>1975</v>
      </c>
      <c r="K76" s="564" t="s">
        <v>423</v>
      </c>
      <c r="L76" s="565">
        <v>0</v>
      </c>
      <c r="M76" s="565">
        <v>0</v>
      </c>
    </row>
    <row r="77" spans="1:13" s="92" customFormat="1" ht="12.75">
      <c r="A77" s="566"/>
      <c r="B77" s="568" t="s">
        <v>513</v>
      </c>
      <c r="C77" s="568"/>
      <c r="D77" s="568"/>
      <c r="E77" s="568"/>
      <c r="F77" s="569" t="s">
        <v>514</v>
      </c>
      <c r="G77" s="570"/>
      <c r="H77" s="568"/>
      <c r="I77" s="576">
        <v>252</v>
      </c>
      <c r="J77" s="572"/>
      <c r="K77" s="573"/>
      <c r="L77" s="574"/>
      <c r="M77" s="574"/>
    </row>
    <row r="78" spans="1:13" s="92" customFormat="1" ht="12.75">
      <c r="A78" s="558">
        <v>38</v>
      </c>
      <c r="B78" s="559" t="s">
        <v>515</v>
      </c>
      <c r="C78" s="559" t="s">
        <v>1777</v>
      </c>
      <c r="D78" s="559">
        <v>1</v>
      </c>
      <c r="E78" s="559" t="s">
        <v>1978</v>
      </c>
      <c r="F78" s="560" t="s">
        <v>511</v>
      </c>
      <c r="G78" s="561" t="s">
        <v>512</v>
      </c>
      <c r="H78" s="559" t="s">
        <v>1975</v>
      </c>
      <c r="I78" s="575">
        <v>0</v>
      </c>
      <c r="J78" s="563" t="s">
        <v>1975</v>
      </c>
      <c r="K78" s="564" t="s">
        <v>423</v>
      </c>
      <c r="L78" s="565">
        <v>0</v>
      </c>
      <c r="M78" s="565">
        <v>0</v>
      </c>
    </row>
    <row r="79" spans="1:13" s="92" customFormat="1" ht="12.75">
      <c r="A79" s="566"/>
      <c r="B79" s="568" t="s">
        <v>516</v>
      </c>
      <c r="C79" s="568"/>
      <c r="D79" s="568"/>
      <c r="E79" s="568"/>
      <c r="F79" s="569" t="s">
        <v>514</v>
      </c>
      <c r="G79" s="570"/>
      <c r="H79" s="568"/>
      <c r="I79" s="576">
        <v>1</v>
      </c>
      <c r="J79" s="572"/>
      <c r="K79" s="573"/>
      <c r="L79" s="574"/>
      <c r="M79" s="574"/>
    </row>
    <row r="80" spans="1:13" s="92" customFormat="1" ht="12.75">
      <c r="A80" s="558">
        <v>39</v>
      </c>
      <c r="B80" s="559" t="s">
        <v>1979</v>
      </c>
      <c r="C80" s="559" t="s">
        <v>2103</v>
      </c>
      <c r="D80" s="559">
        <v>0.5</v>
      </c>
      <c r="E80" s="559" t="s">
        <v>1978</v>
      </c>
      <c r="F80" s="560" t="s">
        <v>511</v>
      </c>
      <c r="G80" s="561" t="s">
        <v>512</v>
      </c>
      <c r="H80" s="559" t="s">
        <v>1975</v>
      </c>
      <c r="I80" s="575">
        <v>58834</v>
      </c>
      <c r="J80" s="563" t="s">
        <v>1975</v>
      </c>
      <c r="K80" s="564" t="s">
        <v>423</v>
      </c>
      <c r="L80" s="565">
        <v>0</v>
      </c>
      <c r="M80" s="565">
        <v>0</v>
      </c>
    </row>
    <row r="81" spans="1:13" s="92" customFormat="1" ht="12.75">
      <c r="A81" s="566"/>
      <c r="B81" s="568" t="s">
        <v>517</v>
      </c>
      <c r="C81" s="568"/>
      <c r="D81" s="568"/>
      <c r="E81" s="568"/>
      <c r="F81" s="569" t="s">
        <v>514</v>
      </c>
      <c r="G81" s="570"/>
      <c r="H81" s="568"/>
      <c r="I81" s="576">
        <v>262</v>
      </c>
      <c r="J81" s="572"/>
      <c r="K81" s="573"/>
      <c r="L81" s="574"/>
      <c r="M81" s="574"/>
    </row>
    <row r="82" spans="1:13" s="92" customFormat="1" ht="12.75">
      <c r="A82" s="558">
        <v>40</v>
      </c>
      <c r="B82" s="559" t="s">
        <v>1979</v>
      </c>
      <c r="C82" s="559" t="s">
        <v>2103</v>
      </c>
      <c r="D82" s="559">
        <v>0.5</v>
      </c>
      <c r="E82" s="559" t="s">
        <v>1978</v>
      </c>
      <c r="F82" s="560" t="s">
        <v>511</v>
      </c>
      <c r="G82" s="561" t="s">
        <v>512</v>
      </c>
      <c r="H82" s="559" t="s">
        <v>1975</v>
      </c>
      <c r="I82" s="575">
        <v>3</v>
      </c>
      <c r="J82" s="563" t="s">
        <v>1975</v>
      </c>
      <c r="K82" s="564" t="s">
        <v>423</v>
      </c>
      <c r="L82" s="565">
        <v>0</v>
      </c>
      <c r="M82" s="565">
        <v>0</v>
      </c>
    </row>
    <row r="83" spans="1:13" s="92" customFormat="1" ht="12.75">
      <c r="A83" s="566"/>
      <c r="B83" s="568" t="s">
        <v>518</v>
      </c>
      <c r="C83" s="568"/>
      <c r="D83" s="568"/>
      <c r="E83" s="568"/>
      <c r="F83" s="569" t="s">
        <v>514</v>
      </c>
      <c r="G83" s="570"/>
      <c r="H83" s="568"/>
      <c r="I83" s="576">
        <v>15930</v>
      </c>
      <c r="J83" s="572"/>
      <c r="K83" s="573"/>
      <c r="L83" s="574"/>
      <c r="M83" s="574"/>
    </row>
    <row r="84" spans="1:13" s="92" customFormat="1" ht="12.75">
      <c r="A84" s="558">
        <v>41</v>
      </c>
      <c r="B84" s="559" t="s">
        <v>1714</v>
      </c>
      <c r="C84" s="559" t="s">
        <v>2103</v>
      </c>
      <c r="D84" s="559">
        <v>0.5</v>
      </c>
      <c r="E84" s="559" t="s">
        <v>1978</v>
      </c>
      <c r="F84" s="560" t="s">
        <v>511</v>
      </c>
      <c r="G84" s="561" t="s">
        <v>512</v>
      </c>
      <c r="H84" s="559" t="s">
        <v>1975</v>
      </c>
      <c r="I84" s="575">
        <v>5831</v>
      </c>
      <c r="J84" s="563" t="s">
        <v>1975</v>
      </c>
      <c r="K84" s="564" t="s">
        <v>423</v>
      </c>
      <c r="L84" s="565">
        <v>0</v>
      </c>
      <c r="M84" s="565">
        <v>0</v>
      </c>
    </row>
    <row r="85" spans="1:13" s="92" customFormat="1" ht="12.75">
      <c r="A85" s="566"/>
      <c r="B85" s="569" t="s">
        <v>519</v>
      </c>
      <c r="C85" s="568"/>
      <c r="D85" s="568"/>
      <c r="E85" s="568"/>
      <c r="F85" s="569" t="s">
        <v>514</v>
      </c>
      <c r="G85" s="570"/>
      <c r="H85" s="568"/>
      <c r="I85" s="576">
        <v>70401</v>
      </c>
      <c r="J85" s="572"/>
      <c r="K85" s="573"/>
      <c r="L85" s="574"/>
      <c r="M85" s="574"/>
    </row>
    <row r="86" spans="1:13" s="92" customFormat="1" ht="12.75">
      <c r="A86" s="558">
        <v>42</v>
      </c>
      <c r="B86" s="559" t="s">
        <v>520</v>
      </c>
      <c r="C86" s="559" t="s">
        <v>2103</v>
      </c>
      <c r="D86" s="559">
        <v>0.5</v>
      </c>
      <c r="E86" s="559" t="s">
        <v>1978</v>
      </c>
      <c r="F86" s="560" t="s">
        <v>422</v>
      </c>
      <c r="G86" s="561" t="s">
        <v>404</v>
      </c>
      <c r="H86" s="559" t="s">
        <v>1975</v>
      </c>
      <c r="I86" s="575">
        <v>12484</v>
      </c>
      <c r="J86" s="563" t="s">
        <v>1975</v>
      </c>
      <c r="K86" s="564" t="s">
        <v>423</v>
      </c>
      <c r="L86" s="565">
        <v>0</v>
      </c>
      <c r="M86" s="565">
        <v>0</v>
      </c>
    </row>
    <row r="87" spans="1:13" s="92" customFormat="1" ht="12.75">
      <c r="A87" s="566"/>
      <c r="B87" s="568" t="s">
        <v>521</v>
      </c>
      <c r="C87" s="568"/>
      <c r="D87" s="568"/>
      <c r="E87" s="568"/>
      <c r="F87" s="569" t="s">
        <v>424</v>
      </c>
      <c r="G87" s="570" t="s">
        <v>425</v>
      </c>
      <c r="H87" s="568"/>
      <c r="I87" s="576">
        <v>0</v>
      </c>
      <c r="J87" s="572"/>
      <c r="K87" s="573"/>
      <c r="L87" s="574"/>
      <c r="M87" s="574"/>
    </row>
    <row r="88" spans="1:13" s="92" customFormat="1" ht="12.75">
      <c r="A88" s="558">
        <v>43</v>
      </c>
      <c r="B88" s="577" t="s">
        <v>522</v>
      </c>
      <c r="C88" s="577" t="s">
        <v>2103</v>
      </c>
      <c r="D88" s="577">
        <v>0.5</v>
      </c>
      <c r="E88" s="559" t="s">
        <v>1978</v>
      </c>
      <c r="F88" s="560" t="s">
        <v>511</v>
      </c>
      <c r="G88" s="561" t="s">
        <v>512</v>
      </c>
      <c r="H88" s="577" t="s">
        <v>1975</v>
      </c>
      <c r="I88" s="578">
        <v>10655</v>
      </c>
      <c r="J88" s="563" t="s">
        <v>1975</v>
      </c>
      <c r="K88" s="564" t="s">
        <v>423</v>
      </c>
      <c r="L88" s="565">
        <v>0</v>
      </c>
      <c r="M88" s="565">
        <v>0</v>
      </c>
    </row>
    <row r="89" spans="1:13" s="92" customFormat="1" ht="12.75">
      <c r="A89" s="566"/>
      <c r="B89" s="568" t="s">
        <v>523</v>
      </c>
      <c r="C89" s="568"/>
      <c r="D89" s="568"/>
      <c r="E89" s="568"/>
      <c r="F89" s="569" t="s">
        <v>514</v>
      </c>
      <c r="G89" s="570"/>
      <c r="H89" s="568"/>
      <c r="I89" s="576">
        <v>16364</v>
      </c>
      <c r="J89" s="572"/>
      <c r="K89" s="573"/>
      <c r="L89" s="574"/>
      <c r="M89" s="574"/>
    </row>
    <row r="90" spans="1:13" s="92" customFormat="1" ht="12.75">
      <c r="A90" s="579">
        <v>44</v>
      </c>
      <c r="B90" s="577" t="s">
        <v>522</v>
      </c>
      <c r="C90" s="577" t="s">
        <v>2103</v>
      </c>
      <c r="D90" s="577">
        <v>0.5</v>
      </c>
      <c r="E90" s="559" t="s">
        <v>1978</v>
      </c>
      <c r="F90" s="560" t="s">
        <v>511</v>
      </c>
      <c r="G90" s="561" t="s">
        <v>512</v>
      </c>
      <c r="H90" s="577" t="s">
        <v>1975</v>
      </c>
      <c r="I90" s="578">
        <v>141</v>
      </c>
      <c r="J90" s="563" t="s">
        <v>1975</v>
      </c>
      <c r="K90" s="564" t="s">
        <v>423</v>
      </c>
      <c r="L90" s="565">
        <v>0</v>
      </c>
      <c r="M90" s="565">
        <v>0</v>
      </c>
    </row>
    <row r="91" spans="1:13" s="92" customFormat="1" ht="12.75">
      <c r="A91" s="566"/>
      <c r="B91" s="568" t="s">
        <v>489</v>
      </c>
      <c r="C91" s="568"/>
      <c r="D91" s="568"/>
      <c r="E91" s="568"/>
      <c r="F91" s="569" t="s">
        <v>514</v>
      </c>
      <c r="G91" s="570"/>
      <c r="H91" s="568"/>
      <c r="I91" s="576">
        <v>86534</v>
      </c>
      <c r="J91" s="572"/>
      <c r="K91" s="573"/>
      <c r="L91" s="574"/>
      <c r="M91" s="574"/>
    </row>
    <row r="92" spans="1:13" s="92" customFormat="1" ht="12.75">
      <c r="A92" s="579">
        <v>45</v>
      </c>
      <c r="B92" s="559" t="s">
        <v>524</v>
      </c>
      <c r="C92" s="559" t="s">
        <v>2103</v>
      </c>
      <c r="D92" s="559">
        <v>0.5</v>
      </c>
      <c r="E92" s="559" t="s">
        <v>1978</v>
      </c>
      <c r="F92" s="560" t="s">
        <v>525</v>
      </c>
      <c r="G92" s="561" t="s">
        <v>526</v>
      </c>
      <c r="H92" s="559" t="s">
        <v>1975</v>
      </c>
      <c r="I92" s="575">
        <v>66187</v>
      </c>
      <c r="J92" s="563" t="s">
        <v>1975</v>
      </c>
      <c r="K92" s="564" t="s">
        <v>373</v>
      </c>
      <c r="L92" s="565">
        <v>0</v>
      </c>
      <c r="M92" s="565">
        <v>0</v>
      </c>
    </row>
    <row r="93" spans="1:13" s="92" customFormat="1" ht="12.75">
      <c r="A93" s="579"/>
      <c r="B93" s="568" t="s">
        <v>527</v>
      </c>
      <c r="C93" s="568"/>
      <c r="D93" s="568"/>
      <c r="E93" s="568"/>
      <c r="F93" s="569" t="s">
        <v>528</v>
      </c>
      <c r="G93" s="570" t="s">
        <v>529</v>
      </c>
      <c r="H93" s="568"/>
      <c r="I93" s="576">
        <v>0</v>
      </c>
      <c r="J93" s="572"/>
      <c r="K93" s="573"/>
      <c r="L93" s="574"/>
      <c r="M93" s="574"/>
    </row>
    <row r="94" spans="1:13" s="92" customFormat="1" ht="12.75">
      <c r="A94" s="558">
        <v>46</v>
      </c>
      <c r="B94" s="559" t="s">
        <v>524</v>
      </c>
      <c r="C94" s="559" t="s">
        <v>2103</v>
      </c>
      <c r="D94" s="559">
        <v>0.5</v>
      </c>
      <c r="E94" s="559" t="s">
        <v>1978</v>
      </c>
      <c r="F94" s="560" t="s">
        <v>525</v>
      </c>
      <c r="G94" s="561" t="s">
        <v>526</v>
      </c>
      <c r="H94" s="559" t="s">
        <v>1975</v>
      </c>
      <c r="I94" s="575">
        <v>1077</v>
      </c>
      <c r="J94" s="563" t="s">
        <v>1975</v>
      </c>
      <c r="K94" s="564" t="s">
        <v>373</v>
      </c>
      <c r="L94" s="565">
        <v>0</v>
      </c>
      <c r="M94" s="565">
        <v>0</v>
      </c>
    </row>
    <row r="95" spans="1:13" s="92" customFormat="1" ht="12.75">
      <c r="A95" s="566"/>
      <c r="B95" s="568" t="s">
        <v>530</v>
      </c>
      <c r="C95" s="568"/>
      <c r="D95" s="568"/>
      <c r="E95" s="568"/>
      <c r="F95" s="569" t="s">
        <v>528</v>
      </c>
      <c r="G95" s="570" t="s">
        <v>529</v>
      </c>
      <c r="H95" s="568"/>
      <c r="I95" s="576">
        <v>0</v>
      </c>
      <c r="J95" s="572"/>
      <c r="K95" s="573"/>
      <c r="L95" s="574"/>
      <c r="M95" s="574"/>
    </row>
    <row r="96" spans="1:13" s="92" customFormat="1" ht="12.75">
      <c r="A96" s="558">
        <v>47</v>
      </c>
      <c r="B96" s="559" t="s">
        <v>531</v>
      </c>
      <c r="C96" s="559" t="s">
        <v>2103</v>
      </c>
      <c r="D96" s="559">
        <v>0.5</v>
      </c>
      <c r="E96" s="559" t="s">
        <v>1978</v>
      </c>
      <c r="F96" s="560" t="s">
        <v>422</v>
      </c>
      <c r="G96" s="561" t="s">
        <v>404</v>
      </c>
      <c r="H96" s="559" t="s">
        <v>1975</v>
      </c>
      <c r="I96" s="575">
        <v>52454</v>
      </c>
      <c r="J96" s="563" t="s">
        <v>1975</v>
      </c>
      <c r="K96" s="564" t="s">
        <v>423</v>
      </c>
      <c r="L96" s="565">
        <v>0</v>
      </c>
      <c r="M96" s="565">
        <v>0</v>
      </c>
    </row>
    <row r="97" spans="1:13" s="92" customFormat="1" ht="12.75">
      <c r="A97" s="566"/>
      <c r="B97" s="568" t="s">
        <v>532</v>
      </c>
      <c r="C97" s="568"/>
      <c r="D97" s="568"/>
      <c r="E97" s="568"/>
      <c r="F97" s="569" t="s">
        <v>424</v>
      </c>
      <c r="G97" s="570" t="s">
        <v>425</v>
      </c>
      <c r="H97" s="568"/>
      <c r="I97" s="576">
        <v>0</v>
      </c>
      <c r="J97" s="572"/>
      <c r="K97" s="573"/>
      <c r="L97" s="574"/>
      <c r="M97" s="574"/>
    </row>
    <row r="98" spans="1:13" s="92" customFormat="1" ht="12.75">
      <c r="A98" s="558">
        <v>48</v>
      </c>
      <c r="B98" s="559" t="s">
        <v>531</v>
      </c>
      <c r="C98" s="559" t="s">
        <v>2103</v>
      </c>
      <c r="D98" s="559">
        <v>0.5</v>
      </c>
      <c r="E98" s="559" t="s">
        <v>1978</v>
      </c>
      <c r="F98" s="560" t="s">
        <v>422</v>
      </c>
      <c r="G98" s="561" t="s">
        <v>404</v>
      </c>
      <c r="H98" s="559" t="s">
        <v>1975</v>
      </c>
      <c r="I98" s="575">
        <v>0</v>
      </c>
      <c r="J98" s="563" t="s">
        <v>1975</v>
      </c>
      <c r="K98" s="564" t="s">
        <v>423</v>
      </c>
      <c r="L98" s="565">
        <v>0</v>
      </c>
      <c r="M98" s="565">
        <v>0</v>
      </c>
    </row>
    <row r="99" spans="1:13" s="92" customFormat="1" ht="12.75">
      <c r="A99" s="566"/>
      <c r="B99" s="568" t="s">
        <v>530</v>
      </c>
      <c r="C99" s="568"/>
      <c r="D99" s="568"/>
      <c r="E99" s="568"/>
      <c r="F99" s="569" t="s">
        <v>424</v>
      </c>
      <c r="G99" s="570" t="s">
        <v>425</v>
      </c>
      <c r="H99" s="568"/>
      <c r="I99" s="576">
        <v>0</v>
      </c>
      <c r="J99" s="572"/>
      <c r="K99" s="573"/>
      <c r="L99" s="574"/>
      <c r="M99" s="574"/>
    </row>
    <row r="100" spans="1:13" s="92" customFormat="1" ht="12.75">
      <c r="A100" s="558">
        <v>49</v>
      </c>
      <c r="B100" s="559" t="s">
        <v>533</v>
      </c>
      <c r="C100" s="559" t="s">
        <v>1777</v>
      </c>
      <c r="D100" s="559">
        <v>1</v>
      </c>
      <c r="E100" s="559" t="s">
        <v>1978</v>
      </c>
      <c r="F100" s="560" t="s">
        <v>511</v>
      </c>
      <c r="G100" s="561" t="s">
        <v>512</v>
      </c>
      <c r="H100" s="559" t="s">
        <v>1975</v>
      </c>
      <c r="I100" s="575">
        <v>55</v>
      </c>
      <c r="J100" s="563" t="s">
        <v>1975</v>
      </c>
      <c r="K100" s="564" t="s">
        <v>373</v>
      </c>
      <c r="L100" s="565">
        <v>0</v>
      </c>
      <c r="M100" s="565">
        <v>0</v>
      </c>
    </row>
    <row r="101" spans="1:13" s="92" customFormat="1" ht="12.75">
      <c r="A101" s="566"/>
      <c r="B101" s="568" t="s">
        <v>534</v>
      </c>
      <c r="C101" s="568"/>
      <c r="D101" s="568"/>
      <c r="E101" s="568"/>
      <c r="F101" s="569" t="s">
        <v>514</v>
      </c>
      <c r="G101" s="570"/>
      <c r="H101" s="568"/>
      <c r="I101" s="576">
        <v>5</v>
      </c>
      <c r="J101" s="572"/>
      <c r="K101" s="573"/>
      <c r="L101" s="574"/>
      <c r="M101" s="574"/>
    </row>
    <row r="102" spans="1:13" s="92" customFormat="1" ht="12.75">
      <c r="A102" s="558">
        <v>50</v>
      </c>
      <c r="B102" s="559" t="s">
        <v>1715</v>
      </c>
      <c r="C102" s="559" t="s">
        <v>2103</v>
      </c>
      <c r="D102" s="559">
        <v>0.5</v>
      </c>
      <c r="E102" s="559" t="s">
        <v>1978</v>
      </c>
      <c r="F102" s="560" t="s">
        <v>525</v>
      </c>
      <c r="G102" s="561" t="s">
        <v>526</v>
      </c>
      <c r="H102" s="559" t="s">
        <v>1975</v>
      </c>
      <c r="I102" s="575">
        <v>139565</v>
      </c>
      <c r="J102" s="563" t="s">
        <v>1975</v>
      </c>
      <c r="K102" s="564" t="s">
        <v>423</v>
      </c>
      <c r="L102" s="565">
        <v>0</v>
      </c>
      <c r="M102" s="565">
        <v>0</v>
      </c>
    </row>
    <row r="103" spans="1:13" s="92" customFormat="1" ht="12.75">
      <c r="A103" s="566"/>
      <c r="B103" s="568" t="s">
        <v>535</v>
      </c>
      <c r="C103" s="568"/>
      <c r="D103" s="568"/>
      <c r="E103" s="568"/>
      <c r="F103" s="569" t="s">
        <v>528</v>
      </c>
      <c r="G103" s="570" t="s">
        <v>529</v>
      </c>
      <c r="H103" s="568"/>
      <c r="I103" s="576">
        <v>16</v>
      </c>
      <c r="J103" s="572"/>
      <c r="K103" s="573"/>
      <c r="L103" s="574"/>
      <c r="M103" s="574"/>
    </row>
    <row r="104" spans="1:13" s="92" customFormat="1" ht="12.75">
      <c r="A104" s="558">
        <v>51</v>
      </c>
      <c r="B104" s="559" t="s">
        <v>536</v>
      </c>
      <c r="C104" s="559" t="s">
        <v>1777</v>
      </c>
      <c r="D104" s="559">
        <v>1</v>
      </c>
      <c r="E104" s="559" t="s">
        <v>1978</v>
      </c>
      <c r="F104" s="560" t="s">
        <v>511</v>
      </c>
      <c r="G104" s="561" t="s">
        <v>512</v>
      </c>
      <c r="H104" s="559" t="s">
        <v>1975</v>
      </c>
      <c r="I104" s="575">
        <v>12239</v>
      </c>
      <c r="J104" s="563" t="s">
        <v>1975</v>
      </c>
      <c r="K104" s="564" t="s">
        <v>373</v>
      </c>
      <c r="L104" s="565">
        <v>0</v>
      </c>
      <c r="M104" s="565">
        <v>0</v>
      </c>
    </row>
    <row r="105" spans="1:13" s="92" customFormat="1" ht="12.75">
      <c r="A105" s="566"/>
      <c r="B105" s="568" t="s">
        <v>537</v>
      </c>
      <c r="C105" s="568"/>
      <c r="D105" s="568"/>
      <c r="E105" s="568"/>
      <c r="F105" s="569" t="s">
        <v>514</v>
      </c>
      <c r="G105" s="570"/>
      <c r="H105" s="568"/>
      <c r="I105" s="576">
        <v>0</v>
      </c>
      <c r="J105" s="572"/>
      <c r="K105" s="573"/>
      <c r="L105" s="574"/>
      <c r="M105" s="574"/>
    </row>
    <row r="106" spans="1:13" s="92" customFormat="1" ht="12.75">
      <c r="A106" s="558">
        <v>52</v>
      </c>
      <c r="B106" s="559" t="s">
        <v>536</v>
      </c>
      <c r="C106" s="559" t="s">
        <v>538</v>
      </c>
      <c r="D106" s="559">
        <v>1</v>
      </c>
      <c r="E106" s="559" t="s">
        <v>1978</v>
      </c>
      <c r="F106" s="560" t="s">
        <v>511</v>
      </c>
      <c r="G106" s="561" t="s">
        <v>512</v>
      </c>
      <c r="H106" s="559" t="s">
        <v>1975</v>
      </c>
      <c r="I106" s="575">
        <v>9567</v>
      </c>
      <c r="J106" s="563" t="s">
        <v>1975</v>
      </c>
      <c r="K106" s="564" t="s">
        <v>373</v>
      </c>
      <c r="L106" s="565">
        <v>0</v>
      </c>
      <c r="M106" s="565">
        <v>0</v>
      </c>
    </row>
    <row r="107" spans="1:13" s="92" customFormat="1" ht="12.75">
      <c r="A107" s="566"/>
      <c r="B107" s="568" t="s">
        <v>539</v>
      </c>
      <c r="C107" s="568"/>
      <c r="D107" s="568"/>
      <c r="E107" s="568"/>
      <c r="F107" s="569" t="s">
        <v>514</v>
      </c>
      <c r="G107" s="570"/>
      <c r="H107" s="568"/>
      <c r="I107" s="576">
        <v>0</v>
      </c>
      <c r="J107" s="572"/>
      <c r="K107" s="573"/>
      <c r="L107" s="574"/>
      <c r="M107" s="574"/>
    </row>
    <row r="108" spans="1:13" s="92" customFormat="1" ht="12.75">
      <c r="A108" s="558">
        <v>53</v>
      </c>
      <c r="B108" s="559" t="s">
        <v>536</v>
      </c>
      <c r="C108" s="559" t="s">
        <v>538</v>
      </c>
      <c r="D108" s="559">
        <v>1</v>
      </c>
      <c r="E108" s="559" t="s">
        <v>1978</v>
      </c>
      <c r="F108" s="560" t="s">
        <v>511</v>
      </c>
      <c r="G108" s="561" t="s">
        <v>512</v>
      </c>
      <c r="H108" s="559" t="s">
        <v>1975</v>
      </c>
      <c r="I108" s="575">
        <v>14632</v>
      </c>
      <c r="J108" s="563" t="s">
        <v>1975</v>
      </c>
      <c r="K108" s="564" t="s">
        <v>373</v>
      </c>
      <c r="L108" s="565">
        <v>0</v>
      </c>
      <c r="M108" s="565">
        <v>0</v>
      </c>
    </row>
    <row r="109" spans="1:13" s="92" customFormat="1" ht="12.75">
      <c r="A109" s="566"/>
      <c r="B109" s="568" t="s">
        <v>540</v>
      </c>
      <c r="C109" s="568"/>
      <c r="D109" s="568"/>
      <c r="E109" s="568"/>
      <c r="F109" s="569" t="s">
        <v>514</v>
      </c>
      <c r="G109" s="570"/>
      <c r="H109" s="568"/>
      <c r="I109" s="576">
        <v>0</v>
      </c>
      <c r="J109" s="572"/>
      <c r="K109" s="573"/>
      <c r="L109" s="574"/>
      <c r="M109" s="574"/>
    </row>
    <row r="110" spans="1:13" s="92" customFormat="1" ht="12.75">
      <c r="A110" s="558">
        <v>54</v>
      </c>
      <c r="B110" s="559" t="s">
        <v>536</v>
      </c>
      <c r="C110" s="559" t="s">
        <v>1860</v>
      </c>
      <c r="D110" s="559">
        <v>1</v>
      </c>
      <c r="E110" s="559" t="s">
        <v>1978</v>
      </c>
      <c r="F110" s="560" t="s">
        <v>511</v>
      </c>
      <c r="G110" s="561" t="s">
        <v>512</v>
      </c>
      <c r="H110" s="559" t="s">
        <v>1975</v>
      </c>
      <c r="I110" s="575">
        <v>20</v>
      </c>
      <c r="J110" s="563" t="s">
        <v>1975</v>
      </c>
      <c r="K110" s="564" t="s">
        <v>373</v>
      </c>
      <c r="L110" s="565">
        <v>0</v>
      </c>
      <c r="M110" s="565">
        <v>0</v>
      </c>
    </row>
    <row r="111" spans="1:13" s="92" customFormat="1" ht="12.75">
      <c r="A111" s="566"/>
      <c r="B111" s="568" t="s">
        <v>1710</v>
      </c>
      <c r="C111" s="568"/>
      <c r="D111" s="568"/>
      <c r="E111" s="568"/>
      <c r="F111" s="569" t="s">
        <v>514</v>
      </c>
      <c r="G111" s="570"/>
      <c r="H111" s="568"/>
      <c r="I111" s="576">
        <v>0</v>
      </c>
      <c r="J111" s="572"/>
      <c r="K111" s="573"/>
      <c r="L111" s="574"/>
      <c r="M111" s="574"/>
    </row>
    <row r="112" spans="1:13" s="92" customFormat="1" ht="12.75">
      <c r="A112" s="558">
        <v>55</v>
      </c>
      <c r="B112" s="559" t="s">
        <v>536</v>
      </c>
      <c r="C112" s="559" t="s">
        <v>1860</v>
      </c>
      <c r="D112" s="559">
        <v>1</v>
      </c>
      <c r="E112" s="559" t="s">
        <v>1978</v>
      </c>
      <c r="F112" s="560" t="s">
        <v>511</v>
      </c>
      <c r="G112" s="561" t="s">
        <v>512</v>
      </c>
      <c r="H112" s="559" t="s">
        <v>1975</v>
      </c>
      <c r="I112" s="575">
        <v>0</v>
      </c>
      <c r="J112" s="563" t="s">
        <v>1975</v>
      </c>
      <c r="K112" s="564" t="s">
        <v>373</v>
      </c>
      <c r="L112" s="565">
        <v>0</v>
      </c>
      <c r="M112" s="565">
        <v>0</v>
      </c>
    </row>
    <row r="113" spans="1:13" s="92" customFormat="1" ht="12.75">
      <c r="A113" s="566"/>
      <c r="B113" s="568" t="s">
        <v>1711</v>
      </c>
      <c r="C113" s="568"/>
      <c r="D113" s="568"/>
      <c r="E113" s="568"/>
      <c r="F113" s="569" t="s">
        <v>514</v>
      </c>
      <c r="G113" s="570"/>
      <c r="H113" s="568"/>
      <c r="I113" s="576">
        <v>0</v>
      </c>
      <c r="J113" s="572"/>
      <c r="K113" s="573"/>
      <c r="L113" s="574"/>
      <c r="M113" s="574"/>
    </row>
    <row r="114" spans="1:13" s="92" customFormat="1" ht="12.75">
      <c r="A114" s="558">
        <v>56</v>
      </c>
      <c r="B114" s="559" t="s">
        <v>541</v>
      </c>
      <c r="C114" s="559" t="s">
        <v>1777</v>
      </c>
      <c r="D114" s="559">
        <v>1</v>
      </c>
      <c r="E114" s="559" t="s">
        <v>1978</v>
      </c>
      <c r="F114" s="560" t="s">
        <v>511</v>
      </c>
      <c r="G114" s="561" t="s">
        <v>512</v>
      </c>
      <c r="H114" s="559" t="s">
        <v>1975</v>
      </c>
      <c r="I114" s="575">
        <v>1264</v>
      </c>
      <c r="J114" s="563" t="s">
        <v>1975</v>
      </c>
      <c r="K114" s="564" t="s">
        <v>373</v>
      </c>
      <c r="L114" s="565">
        <v>0</v>
      </c>
      <c r="M114" s="565">
        <v>0</v>
      </c>
    </row>
    <row r="115" spans="1:13" s="92" customFormat="1" ht="12.75">
      <c r="A115" s="566"/>
      <c r="B115" s="568" t="s">
        <v>542</v>
      </c>
      <c r="C115" s="568"/>
      <c r="D115" s="568"/>
      <c r="E115" s="568"/>
      <c r="F115" s="569" t="s">
        <v>514</v>
      </c>
      <c r="G115" s="570"/>
      <c r="H115" s="568"/>
      <c r="I115" s="576">
        <v>98</v>
      </c>
      <c r="J115" s="572"/>
      <c r="K115" s="573"/>
      <c r="L115" s="574"/>
      <c r="M115" s="574"/>
    </row>
    <row r="116" spans="1:13" s="92" customFormat="1" ht="12.75">
      <c r="A116" s="558">
        <v>57</v>
      </c>
      <c r="B116" s="559" t="s">
        <v>543</v>
      </c>
      <c r="C116" s="559" t="s">
        <v>1777</v>
      </c>
      <c r="D116" s="559">
        <v>1</v>
      </c>
      <c r="E116" s="559" t="s">
        <v>1978</v>
      </c>
      <c r="F116" s="560" t="s">
        <v>511</v>
      </c>
      <c r="G116" s="561" t="s">
        <v>512</v>
      </c>
      <c r="H116" s="559" t="s">
        <v>1975</v>
      </c>
      <c r="I116" s="575">
        <v>0</v>
      </c>
      <c r="J116" s="563" t="s">
        <v>1975</v>
      </c>
      <c r="K116" s="564" t="s">
        <v>373</v>
      </c>
      <c r="L116" s="565">
        <v>0</v>
      </c>
      <c r="M116" s="565">
        <v>0</v>
      </c>
    </row>
    <row r="117" spans="1:13" s="92" customFormat="1" ht="12.75">
      <c r="A117" s="566"/>
      <c r="B117" s="568" t="s">
        <v>544</v>
      </c>
      <c r="C117" s="568"/>
      <c r="D117" s="568"/>
      <c r="E117" s="568"/>
      <c r="F117" s="569" t="s">
        <v>514</v>
      </c>
      <c r="G117" s="570"/>
      <c r="H117" s="568"/>
      <c r="I117" s="576">
        <v>3709</v>
      </c>
      <c r="J117" s="572"/>
      <c r="K117" s="573"/>
      <c r="L117" s="574"/>
      <c r="M117" s="574"/>
    </row>
    <row r="118" spans="1:13" s="92" customFormat="1" ht="12.75">
      <c r="A118" s="558">
        <v>56</v>
      </c>
      <c r="B118" s="559" t="s">
        <v>545</v>
      </c>
      <c r="C118" s="559" t="s">
        <v>1777</v>
      </c>
      <c r="D118" s="559">
        <v>1</v>
      </c>
      <c r="E118" s="559" t="s">
        <v>1978</v>
      </c>
      <c r="F118" s="560" t="s">
        <v>525</v>
      </c>
      <c r="G118" s="561" t="s">
        <v>526</v>
      </c>
      <c r="H118" s="559" t="s">
        <v>1975</v>
      </c>
      <c r="I118" s="575"/>
      <c r="J118" s="563" t="s">
        <v>1975</v>
      </c>
      <c r="K118" s="564" t="s">
        <v>373</v>
      </c>
      <c r="L118" s="565">
        <v>0</v>
      </c>
      <c r="M118" s="565">
        <v>0</v>
      </c>
    </row>
    <row r="119" spans="1:13" s="92" customFormat="1" ht="12.75">
      <c r="A119" s="566"/>
      <c r="B119" s="568" t="s">
        <v>546</v>
      </c>
      <c r="C119" s="568"/>
      <c r="D119" s="568"/>
      <c r="E119" s="568"/>
      <c r="F119" s="569" t="s">
        <v>547</v>
      </c>
      <c r="G119" s="570" t="s">
        <v>529</v>
      </c>
      <c r="H119" s="568"/>
      <c r="I119" s="576">
        <v>6505</v>
      </c>
      <c r="J119" s="572"/>
      <c r="K119" s="573"/>
      <c r="L119" s="574"/>
      <c r="M119" s="574"/>
    </row>
    <row r="120" spans="1:13" s="92" customFormat="1" ht="12.75">
      <c r="A120" s="558">
        <v>59</v>
      </c>
      <c r="B120" s="580" t="s">
        <v>548</v>
      </c>
      <c r="C120" s="559" t="s">
        <v>2103</v>
      </c>
      <c r="D120" s="559">
        <v>0.5</v>
      </c>
      <c r="E120" s="559" t="s">
        <v>1978</v>
      </c>
      <c r="F120" s="560" t="s">
        <v>415</v>
      </c>
      <c r="G120" s="561" t="s">
        <v>416</v>
      </c>
      <c r="H120" s="559" t="s">
        <v>1975</v>
      </c>
      <c r="I120" s="575">
        <v>102</v>
      </c>
      <c r="J120" s="563" t="s">
        <v>1975</v>
      </c>
      <c r="K120" s="564" t="s">
        <v>423</v>
      </c>
      <c r="L120" s="565">
        <v>0</v>
      </c>
      <c r="M120" s="565">
        <v>0</v>
      </c>
    </row>
    <row r="121" spans="1:13" s="92" customFormat="1" ht="12.75">
      <c r="A121" s="566"/>
      <c r="B121" s="568" t="s">
        <v>549</v>
      </c>
      <c r="C121" s="568"/>
      <c r="D121" s="568"/>
      <c r="E121" s="568"/>
      <c r="F121" s="568"/>
      <c r="G121" s="570"/>
      <c r="H121" s="568"/>
      <c r="I121" s="576">
        <v>164685</v>
      </c>
      <c r="J121" s="572"/>
      <c r="K121" s="573"/>
      <c r="L121" s="574"/>
      <c r="M121" s="574"/>
    </row>
    <row r="122" spans="1:13" s="92" customFormat="1" ht="12.75">
      <c r="A122" s="558">
        <v>60</v>
      </c>
      <c r="B122" s="580" t="s">
        <v>548</v>
      </c>
      <c r="C122" s="559" t="s">
        <v>2103</v>
      </c>
      <c r="D122" s="559">
        <v>0.5</v>
      </c>
      <c r="E122" s="559" t="s">
        <v>1978</v>
      </c>
      <c r="F122" s="560" t="s">
        <v>415</v>
      </c>
      <c r="G122" s="561" t="s">
        <v>416</v>
      </c>
      <c r="H122" s="559" t="s">
        <v>1975</v>
      </c>
      <c r="I122" s="575">
        <v>33</v>
      </c>
      <c r="J122" s="563" t="s">
        <v>1975</v>
      </c>
      <c r="K122" s="564" t="s">
        <v>423</v>
      </c>
      <c r="L122" s="565">
        <v>0</v>
      </c>
      <c r="M122" s="565">
        <v>0</v>
      </c>
    </row>
    <row r="123" spans="1:13" s="92" customFormat="1" ht="12.75">
      <c r="A123" s="566"/>
      <c r="B123" s="568" t="s">
        <v>550</v>
      </c>
      <c r="C123" s="568"/>
      <c r="D123" s="568"/>
      <c r="E123" s="568"/>
      <c r="F123" s="568"/>
      <c r="G123" s="570"/>
      <c r="H123" s="568"/>
      <c r="I123" s="576">
        <v>176840</v>
      </c>
      <c r="J123" s="572"/>
      <c r="K123" s="573"/>
      <c r="L123" s="574"/>
      <c r="M123" s="574"/>
    </row>
    <row r="124" spans="1:13" s="92" customFormat="1" ht="12.75">
      <c r="A124" s="558">
        <v>61</v>
      </c>
      <c r="B124" s="581" t="s">
        <v>548</v>
      </c>
      <c r="C124" s="577" t="s">
        <v>2103</v>
      </c>
      <c r="D124" s="577">
        <v>0.5</v>
      </c>
      <c r="E124" s="559" t="s">
        <v>488</v>
      </c>
      <c r="F124" s="560" t="s">
        <v>415</v>
      </c>
      <c r="G124" s="561" t="s">
        <v>416</v>
      </c>
      <c r="H124" s="577" t="s">
        <v>1975</v>
      </c>
      <c r="I124" s="578">
        <v>448388</v>
      </c>
      <c r="J124" s="563" t="s">
        <v>1975</v>
      </c>
      <c r="K124" s="564" t="s">
        <v>423</v>
      </c>
      <c r="L124" s="565">
        <v>0</v>
      </c>
      <c r="M124" s="565">
        <v>0</v>
      </c>
    </row>
    <row r="125" spans="1:13" s="92" customFormat="1" ht="12.75">
      <c r="A125" s="566"/>
      <c r="B125" s="568" t="s">
        <v>551</v>
      </c>
      <c r="C125" s="568"/>
      <c r="D125" s="568"/>
      <c r="E125" s="568"/>
      <c r="F125" s="568"/>
      <c r="G125" s="570"/>
      <c r="H125" s="568"/>
      <c r="I125" s="576">
        <v>0</v>
      </c>
      <c r="J125" s="572"/>
      <c r="K125" s="573"/>
      <c r="L125" s="574"/>
      <c r="M125" s="574"/>
    </row>
    <row r="126" spans="1:13" s="92" customFormat="1" ht="12.75">
      <c r="A126" s="579">
        <v>62</v>
      </c>
      <c r="B126" s="580" t="s">
        <v>548</v>
      </c>
      <c r="C126" s="559" t="s">
        <v>2103</v>
      </c>
      <c r="D126" s="559">
        <v>0.5</v>
      </c>
      <c r="E126" s="559" t="s">
        <v>1978</v>
      </c>
      <c r="F126" s="560" t="s">
        <v>415</v>
      </c>
      <c r="G126" s="561" t="s">
        <v>416</v>
      </c>
      <c r="H126" s="559" t="s">
        <v>1975</v>
      </c>
      <c r="I126" s="575">
        <v>536</v>
      </c>
      <c r="J126" s="563" t="s">
        <v>1975</v>
      </c>
      <c r="K126" s="564" t="s">
        <v>373</v>
      </c>
      <c r="L126" s="565">
        <v>0</v>
      </c>
      <c r="M126" s="565">
        <v>0</v>
      </c>
    </row>
    <row r="127" spans="1:13" s="92" customFormat="1" ht="12.75">
      <c r="A127" s="566"/>
      <c r="B127" s="568" t="s">
        <v>552</v>
      </c>
      <c r="C127" s="568"/>
      <c r="D127" s="568"/>
      <c r="E127" s="568"/>
      <c r="F127" s="568"/>
      <c r="G127" s="570"/>
      <c r="H127" s="568"/>
      <c r="I127" s="576">
        <v>6558</v>
      </c>
      <c r="J127" s="572"/>
      <c r="K127" s="573"/>
      <c r="L127" s="574"/>
      <c r="M127" s="574"/>
    </row>
    <row r="128" spans="1:13" s="92" customFormat="1" ht="12.75">
      <c r="A128" s="558">
        <v>63</v>
      </c>
      <c r="B128" s="580" t="s">
        <v>548</v>
      </c>
      <c r="C128" s="559" t="s">
        <v>1777</v>
      </c>
      <c r="D128" s="559">
        <v>1</v>
      </c>
      <c r="E128" s="559">
        <v>1</v>
      </c>
      <c r="F128" s="560" t="s">
        <v>415</v>
      </c>
      <c r="G128" s="561" t="s">
        <v>416</v>
      </c>
      <c r="H128" s="559" t="s">
        <v>1975</v>
      </c>
      <c r="I128" s="575">
        <v>20292</v>
      </c>
      <c r="J128" s="563" t="s">
        <v>1975</v>
      </c>
      <c r="K128" s="564" t="s">
        <v>373</v>
      </c>
      <c r="L128" s="565">
        <v>0</v>
      </c>
      <c r="M128" s="565">
        <v>0</v>
      </c>
    </row>
    <row r="129" spans="1:13" s="92" customFormat="1" ht="12.75">
      <c r="A129" s="566"/>
      <c r="B129" s="568" t="s">
        <v>553</v>
      </c>
      <c r="C129" s="568"/>
      <c r="D129" s="568"/>
      <c r="E129" s="568"/>
      <c r="F129" s="568"/>
      <c r="G129" s="570"/>
      <c r="H129" s="568"/>
      <c r="I129" s="576">
        <v>0</v>
      </c>
      <c r="J129" s="572"/>
      <c r="K129" s="573"/>
      <c r="L129" s="574"/>
      <c r="M129" s="574"/>
    </row>
    <row r="130" spans="1:13" s="92" customFormat="1" ht="12.75">
      <c r="A130" s="558">
        <v>64</v>
      </c>
      <c r="B130" s="580" t="s">
        <v>548</v>
      </c>
      <c r="C130" s="559" t="s">
        <v>1777</v>
      </c>
      <c r="D130" s="559">
        <v>1</v>
      </c>
      <c r="E130" s="559">
        <v>1</v>
      </c>
      <c r="F130" s="560" t="s">
        <v>415</v>
      </c>
      <c r="G130" s="561" t="s">
        <v>416</v>
      </c>
      <c r="H130" s="559" t="s">
        <v>1975</v>
      </c>
      <c r="I130" s="575">
        <v>4387</v>
      </c>
      <c r="J130" s="563" t="s">
        <v>1975</v>
      </c>
      <c r="K130" s="564" t="s">
        <v>373</v>
      </c>
      <c r="L130" s="565">
        <v>0</v>
      </c>
      <c r="M130" s="565">
        <v>0</v>
      </c>
    </row>
    <row r="131" spans="1:13" s="92" customFormat="1" ht="12.75">
      <c r="A131" s="566"/>
      <c r="B131" s="568" t="s">
        <v>554</v>
      </c>
      <c r="C131" s="568"/>
      <c r="D131" s="568"/>
      <c r="E131" s="568"/>
      <c r="F131" s="568"/>
      <c r="G131" s="570"/>
      <c r="H131" s="568"/>
      <c r="I131" s="576">
        <v>0</v>
      </c>
      <c r="J131" s="572"/>
      <c r="K131" s="573"/>
      <c r="L131" s="574"/>
      <c r="M131" s="574"/>
    </row>
    <row r="132" spans="1:13" s="92" customFormat="1" ht="12.75">
      <c r="A132" s="558">
        <v>65</v>
      </c>
      <c r="B132" s="580" t="s">
        <v>548</v>
      </c>
      <c r="C132" s="559" t="s">
        <v>1777</v>
      </c>
      <c r="D132" s="559">
        <v>1</v>
      </c>
      <c r="E132" s="559">
        <v>1</v>
      </c>
      <c r="F132" s="560" t="s">
        <v>415</v>
      </c>
      <c r="G132" s="561" t="s">
        <v>416</v>
      </c>
      <c r="H132" s="559" t="s">
        <v>1975</v>
      </c>
      <c r="I132" s="575">
        <v>5023</v>
      </c>
      <c r="J132" s="563" t="s">
        <v>1975</v>
      </c>
      <c r="K132" s="564" t="s">
        <v>373</v>
      </c>
      <c r="L132" s="565">
        <v>0</v>
      </c>
      <c r="M132" s="565">
        <v>0</v>
      </c>
    </row>
    <row r="133" spans="1:13" s="92" customFormat="1" ht="12.75">
      <c r="A133" s="566"/>
      <c r="B133" s="568" t="s">
        <v>2009</v>
      </c>
      <c r="C133" s="568"/>
      <c r="D133" s="568"/>
      <c r="E133" s="568"/>
      <c r="F133" s="568"/>
      <c r="G133" s="570"/>
      <c r="H133" s="568"/>
      <c r="I133" s="576">
        <v>0</v>
      </c>
      <c r="J133" s="572"/>
      <c r="K133" s="573"/>
      <c r="L133" s="574"/>
      <c r="M133" s="574"/>
    </row>
    <row r="134" spans="1:13" s="92" customFormat="1" ht="12.75">
      <c r="A134" s="558">
        <v>66</v>
      </c>
      <c r="B134" s="580" t="s">
        <v>548</v>
      </c>
      <c r="C134" s="559" t="s">
        <v>1777</v>
      </c>
      <c r="D134" s="559">
        <v>1</v>
      </c>
      <c r="E134" s="559">
        <v>1</v>
      </c>
      <c r="F134" s="560" t="s">
        <v>415</v>
      </c>
      <c r="G134" s="561" t="s">
        <v>416</v>
      </c>
      <c r="H134" s="559" t="s">
        <v>1975</v>
      </c>
      <c r="I134" s="575">
        <v>9905</v>
      </c>
      <c r="J134" s="563" t="s">
        <v>1975</v>
      </c>
      <c r="K134" s="564" t="s">
        <v>373</v>
      </c>
      <c r="L134" s="565">
        <v>0</v>
      </c>
      <c r="M134" s="565">
        <v>0</v>
      </c>
    </row>
    <row r="135" spans="1:13" s="92" customFormat="1" ht="12.75">
      <c r="A135" s="566"/>
      <c r="B135" s="568" t="s">
        <v>555</v>
      </c>
      <c r="C135" s="568"/>
      <c r="D135" s="568"/>
      <c r="E135" s="568"/>
      <c r="F135" s="568"/>
      <c r="G135" s="570"/>
      <c r="H135" s="568"/>
      <c r="I135" s="576">
        <v>0</v>
      </c>
      <c r="J135" s="572"/>
      <c r="K135" s="573"/>
      <c r="L135" s="574"/>
      <c r="M135" s="574"/>
    </row>
    <row r="136" spans="1:13" s="92" customFormat="1" ht="12.75">
      <c r="A136" s="558">
        <v>67</v>
      </c>
      <c r="B136" s="580" t="s">
        <v>548</v>
      </c>
      <c r="C136" s="559" t="s">
        <v>1777</v>
      </c>
      <c r="D136" s="559">
        <v>1</v>
      </c>
      <c r="E136" s="559">
        <v>1</v>
      </c>
      <c r="F136" s="560" t="s">
        <v>415</v>
      </c>
      <c r="G136" s="561" t="s">
        <v>416</v>
      </c>
      <c r="H136" s="559" t="s">
        <v>1975</v>
      </c>
      <c r="I136" s="575">
        <v>7264</v>
      </c>
      <c r="J136" s="563" t="s">
        <v>1975</v>
      </c>
      <c r="K136" s="564" t="s">
        <v>373</v>
      </c>
      <c r="L136" s="565">
        <v>0</v>
      </c>
      <c r="M136" s="565">
        <v>0</v>
      </c>
    </row>
    <row r="137" spans="1:13" s="92" customFormat="1" ht="12.75">
      <c r="A137" s="566"/>
      <c r="B137" s="568" t="s">
        <v>556</v>
      </c>
      <c r="C137" s="568"/>
      <c r="D137" s="568"/>
      <c r="E137" s="568"/>
      <c r="F137" s="568"/>
      <c r="G137" s="570"/>
      <c r="H137" s="568"/>
      <c r="I137" s="576">
        <v>0</v>
      </c>
      <c r="J137" s="572"/>
      <c r="K137" s="573"/>
      <c r="L137" s="574"/>
      <c r="M137" s="574"/>
    </row>
    <row r="138" spans="1:13" s="92" customFormat="1" ht="12.75">
      <c r="A138" s="558">
        <v>68</v>
      </c>
      <c r="B138" s="580" t="s">
        <v>548</v>
      </c>
      <c r="C138" s="559" t="s">
        <v>1777</v>
      </c>
      <c r="D138" s="559">
        <v>1</v>
      </c>
      <c r="E138" s="559">
        <v>1</v>
      </c>
      <c r="F138" s="560" t="s">
        <v>415</v>
      </c>
      <c r="G138" s="561" t="s">
        <v>416</v>
      </c>
      <c r="H138" s="559" t="s">
        <v>1975</v>
      </c>
      <c r="I138" s="575">
        <v>20896</v>
      </c>
      <c r="J138" s="563" t="s">
        <v>1975</v>
      </c>
      <c r="K138" s="564" t="s">
        <v>373</v>
      </c>
      <c r="L138" s="565">
        <v>0</v>
      </c>
      <c r="M138" s="565">
        <v>0</v>
      </c>
    </row>
    <row r="139" spans="1:13" s="92" customFormat="1" ht="12.75">
      <c r="A139" s="566"/>
      <c r="B139" s="568" t="s">
        <v>557</v>
      </c>
      <c r="C139" s="568"/>
      <c r="D139" s="568"/>
      <c r="E139" s="568"/>
      <c r="F139" s="568"/>
      <c r="G139" s="570"/>
      <c r="H139" s="568"/>
      <c r="I139" s="576">
        <v>0</v>
      </c>
      <c r="J139" s="572"/>
      <c r="K139" s="573"/>
      <c r="L139" s="574"/>
      <c r="M139" s="574"/>
    </row>
    <row r="140" spans="1:13" s="92" customFormat="1" ht="12.75">
      <c r="A140" s="558">
        <v>69</v>
      </c>
      <c r="B140" s="580" t="s">
        <v>548</v>
      </c>
      <c r="C140" s="559" t="s">
        <v>1777</v>
      </c>
      <c r="D140" s="559">
        <v>1</v>
      </c>
      <c r="E140" s="559">
        <v>1</v>
      </c>
      <c r="F140" s="560" t="s">
        <v>415</v>
      </c>
      <c r="G140" s="561" t="s">
        <v>416</v>
      </c>
      <c r="H140" s="559" t="s">
        <v>1975</v>
      </c>
      <c r="I140" s="575">
        <v>8628</v>
      </c>
      <c r="J140" s="563" t="s">
        <v>1975</v>
      </c>
      <c r="K140" s="564" t="s">
        <v>373</v>
      </c>
      <c r="L140" s="565">
        <v>0</v>
      </c>
      <c r="M140" s="565">
        <v>0</v>
      </c>
    </row>
    <row r="141" spans="1:13" s="92" customFormat="1" ht="12.75">
      <c r="A141" s="566"/>
      <c r="B141" s="568" t="s">
        <v>558</v>
      </c>
      <c r="C141" s="568"/>
      <c r="D141" s="568"/>
      <c r="E141" s="568"/>
      <c r="F141" s="568"/>
      <c r="G141" s="570"/>
      <c r="H141" s="568"/>
      <c r="I141" s="576">
        <v>0</v>
      </c>
      <c r="J141" s="572"/>
      <c r="K141" s="573"/>
      <c r="L141" s="574"/>
      <c r="M141" s="574"/>
    </row>
    <row r="142" spans="1:13" s="92" customFormat="1" ht="12.75">
      <c r="A142" s="558">
        <v>70</v>
      </c>
      <c r="B142" s="580" t="s">
        <v>548</v>
      </c>
      <c r="C142" s="559" t="s">
        <v>1777</v>
      </c>
      <c r="D142" s="559">
        <v>1</v>
      </c>
      <c r="E142" s="559">
        <v>1</v>
      </c>
      <c r="F142" s="560" t="s">
        <v>415</v>
      </c>
      <c r="G142" s="561" t="s">
        <v>416</v>
      </c>
      <c r="H142" s="559" t="s">
        <v>1975</v>
      </c>
      <c r="I142" s="575">
        <v>1968</v>
      </c>
      <c r="J142" s="563" t="s">
        <v>1975</v>
      </c>
      <c r="K142" s="564" t="s">
        <v>373</v>
      </c>
      <c r="L142" s="565">
        <v>0</v>
      </c>
      <c r="M142" s="565">
        <v>0</v>
      </c>
    </row>
    <row r="143" spans="1:13" s="92" customFormat="1" ht="12.75">
      <c r="A143" s="566"/>
      <c r="B143" s="568" t="s">
        <v>559</v>
      </c>
      <c r="C143" s="568"/>
      <c r="D143" s="568"/>
      <c r="E143" s="568"/>
      <c r="F143" s="568"/>
      <c r="G143" s="570"/>
      <c r="H143" s="568"/>
      <c r="I143" s="576">
        <v>0</v>
      </c>
      <c r="J143" s="572"/>
      <c r="K143" s="573"/>
      <c r="L143" s="574"/>
      <c r="M143" s="574"/>
    </row>
    <row r="144" spans="1:13" s="92" customFormat="1" ht="12.75">
      <c r="A144" s="558">
        <v>71</v>
      </c>
      <c r="B144" s="580" t="s">
        <v>548</v>
      </c>
      <c r="C144" s="559" t="s">
        <v>1977</v>
      </c>
      <c r="D144" s="559">
        <v>1</v>
      </c>
      <c r="E144" s="559">
        <v>1</v>
      </c>
      <c r="F144" s="560" t="s">
        <v>415</v>
      </c>
      <c r="G144" s="561" t="s">
        <v>416</v>
      </c>
      <c r="H144" s="559" t="s">
        <v>1975</v>
      </c>
      <c r="I144" s="575">
        <v>1611</v>
      </c>
      <c r="J144" s="563" t="s">
        <v>1975</v>
      </c>
      <c r="K144" s="564" t="s">
        <v>373</v>
      </c>
      <c r="L144" s="565">
        <v>0</v>
      </c>
      <c r="M144" s="565">
        <v>0</v>
      </c>
    </row>
    <row r="145" spans="1:13" s="92" customFormat="1" ht="12.75">
      <c r="A145" s="566"/>
      <c r="B145" s="568" t="s">
        <v>560</v>
      </c>
      <c r="C145" s="568"/>
      <c r="D145" s="568"/>
      <c r="E145" s="568"/>
      <c r="F145" s="568"/>
      <c r="G145" s="570"/>
      <c r="H145" s="568"/>
      <c r="I145" s="576">
        <v>0</v>
      </c>
      <c r="J145" s="572"/>
      <c r="K145" s="573"/>
      <c r="L145" s="574"/>
      <c r="M145" s="574"/>
    </row>
    <row r="146" spans="1:13" s="92" customFormat="1" ht="12.75">
      <c r="A146" s="558">
        <v>72</v>
      </c>
      <c r="B146" s="580" t="s">
        <v>548</v>
      </c>
      <c r="C146" s="559" t="s">
        <v>1977</v>
      </c>
      <c r="D146" s="559">
        <v>1</v>
      </c>
      <c r="E146" s="559">
        <v>1</v>
      </c>
      <c r="F146" s="560" t="s">
        <v>415</v>
      </c>
      <c r="G146" s="561" t="s">
        <v>416</v>
      </c>
      <c r="H146" s="559" t="s">
        <v>1975</v>
      </c>
      <c r="I146" s="575">
        <v>291</v>
      </c>
      <c r="J146" s="563" t="s">
        <v>1975</v>
      </c>
      <c r="K146" s="564" t="s">
        <v>373</v>
      </c>
      <c r="L146" s="565">
        <v>0</v>
      </c>
      <c r="M146" s="565">
        <v>0</v>
      </c>
    </row>
    <row r="147" spans="1:13" s="92" customFormat="1" ht="12.75">
      <c r="A147" s="566"/>
      <c r="B147" s="568" t="s">
        <v>561</v>
      </c>
      <c r="C147" s="568"/>
      <c r="D147" s="568"/>
      <c r="E147" s="568"/>
      <c r="F147" s="568"/>
      <c r="G147" s="570"/>
      <c r="H147" s="568"/>
      <c r="I147" s="576">
        <v>0</v>
      </c>
      <c r="J147" s="572"/>
      <c r="K147" s="573"/>
      <c r="L147" s="574"/>
      <c r="M147" s="574"/>
    </row>
    <row r="148" spans="1:13" s="92" customFormat="1" ht="12.75">
      <c r="A148" s="558">
        <v>73</v>
      </c>
      <c r="B148" s="580" t="s">
        <v>548</v>
      </c>
      <c r="C148" s="559" t="s">
        <v>1977</v>
      </c>
      <c r="D148" s="559">
        <v>1</v>
      </c>
      <c r="E148" s="559">
        <v>1</v>
      </c>
      <c r="F148" s="560" t="s">
        <v>415</v>
      </c>
      <c r="G148" s="561" t="s">
        <v>416</v>
      </c>
      <c r="H148" s="559" t="s">
        <v>1975</v>
      </c>
      <c r="I148" s="575">
        <v>2567</v>
      </c>
      <c r="J148" s="563" t="s">
        <v>1975</v>
      </c>
      <c r="K148" s="564" t="s">
        <v>373</v>
      </c>
      <c r="L148" s="565">
        <v>0</v>
      </c>
      <c r="M148" s="565">
        <v>0</v>
      </c>
    </row>
    <row r="149" spans="1:13" s="92" customFormat="1" ht="12.75">
      <c r="A149" s="566"/>
      <c r="B149" s="568" t="s">
        <v>562</v>
      </c>
      <c r="C149" s="568"/>
      <c r="D149" s="568"/>
      <c r="E149" s="568"/>
      <c r="F149" s="568"/>
      <c r="G149" s="570"/>
      <c r="H149" s="568"/>
      <c r="I149" s="576">
        <v>0</v>
      </c>
      <c r="J149" s="572"/>
      <c r="K149" s="573"/>
      <c r="L149" s="574"/>
      <c r="M149" s="574"/>
    </row>
    <row r="150" spans="1:13" s="92" customFormat="1" ht="12.75">
      <c r="A150" s="558">
        <v>74</v>
      </c>
      <c r="B150" s="580" t="s">
        <v>548</v>
      </c>
      <c r="C150" s="559" t="s">
        <v>1977</v>
      </c>
      <c r="D150" s="559">
        <v>1</v>
      </c>
      <c r="E150" s="559">
        <v>1</v>
      </c>
      <c r="F150" s="560" t="s">
        <v>415</v>
      </c>
      <c r="G150" s="561" t="s">
        <v>416</v>
      </c>
      <c r="H150" s="559" t="s">
        <v>1975</v>
      </c>
      <c r="I150" s="575">
        <v>246</v>
      </c>
      <c r="J150" s="563" t="s">
        <v>1975</v>
      </c>
      <c r="K150" s="564" t="s">
        <v>373</v>
      </c>
      <c r="L150" s="565">
        <v>0</v>
      </c>
      <c r="M150" s="565">
        <v>0</v>
      </c>
    </row>
    <row r="151" spans="1:13" s="92" customFormat="1" ht="12.75">
      <c r="A151" s="566"/>
      <c r="B151" s="568" t="s">
        <v>563</v>
      </c>
      <c r="C151" s="568"/>
      <c r="D151" s="568"/>
      <c r="E151" s="568"/>
      <c r="F151" s="568"/>
      <c r="G151" s="570"/>
      <c r="H151" s="568"/>
      <c r="I151" s="576">
        <v>0</v>
      </c>
      <c r="J151" s="572"/>
      <c r="K151" s="573"/>
      <c r="L151" s="574"/>
      <c r="M151" s="574"/>
    </row>
    <row r="152" spans="1:13" s="92" customFormat="1" ht="12.75">
      <c r="A152" s="558">
        <v>75</v>
      </c>
      <c r="B152" s="580" t="s">
        <v>548</v>
      </c>
      <c r="C152" s="559" t="s">
        <v>1977</v>
      </c>
      <c r="D152" s="559">
        <v>1</v>
      </c>
      <c r="E152" s="559">
        <v>1</v>
      </c>
      <c r="F152" s="560" t="s">
        <v>415</v>
      </c>
      <c r="G152" s="561" t="s">
        <v>416</v>
      </c>
      <c r="H152" s="559" t="s">
        <v>1975</v>
      </c>
      <c r="I152" s="575">
        <v>2879</v>
      </c>
      <c r="J152" s="563" t="s">
        <v>1975</v>
      </c>
      <c r="K152" s="564" t="s">
        <v>373</v>
      </c>
      <c r="L152" s="565">
        <v>0</v>
      </c>
      <c r="M152" s="565">
        <v>0</v>
      </c>
    </row>
    <row r="153" spans="1:13" s="92" customFormat="1" ht="12.75">
      <c r="A153" s="566"/>
      <c r="B153" s="568" t="s">
        <v>564</v>
      </c>
      <c r="C153" s="568"/>
      <c r="D153" s="568"/>
      <c r="E153" s="568"/>
      <c r="F153" s="568"/>
      <c r="G153" s="570"/>
      <c r="H153" s="568"/>
      <c r="I153" s="576">
        <v>0</v>
      </c>
      <c r="J153" s="572"/>
      <c r="K153" s="573"/>
      <c r="L153" s="574"/>
      <c r="M153" s="574"/>
    </row>
    <row r="154" spans="1:13" s="92" customFormat="1" ht="12.75">
      <c r="A154" s="558">
        <v>76</v>
      </c>
      <c r="B154" s="580" t="s">
        <v>548</v>
      </c>
      <c r="C154" s="559" t="s">
        <v>1977</v>
      </c>
      <c r="D154" s="559">
        <v>1</v>
      </c>
      <c r="E154" s="559">
        <v>1</v>
      </c>
      <c r="F154" s="560" t="s">
        <v>415</v>
      </c>
      <c r="G154" s="561" t="s">
        <v>416</v>
      </c>
      <c r="H154" s="559" t="s">
        <v>1975</v>
      </c>
      <c r="I154" s="575">
        <v>0</v>
      </c>
      <c r="J154" s="563" t="s">
        <v>1975</v>
      </c>
      <c r="K154" s="564" t="s">
        <v>373</v>
      </c>
      <c r="L154" s="565">
        <v>0</v>
      </c>
      <c r="M154" s="565">
        <v>0</v>
      </c>
    </row>
    <row r="155" spans="1:13" s="92" customFormat="1" ht="12.75">
      <c r="A155" s="566"/>
      <c r="B155" s="568" t="s">
        <v>565</v>
      </c>
      <c r="C155" s="568"/>
      <c r="D155" s="568"/>
      <c r="E155" s="568"/>
      <c r="F155" s="568"/>
      <c r="G155" s="570"/>
      <c r="H155" s="568"/>
      <c r="I155" s="576">
        <v>0</v>
      </c>
      <c r="J155" s="572"/>
      <c r="K155" s="573"/>
      <c r="L155" s="574"/>
      <c r="M155" s="574"/>
    </row>
    <row r="156" spans="1:13" s="92" customFormat="1" ht="12.75">
      <c r="A156" s="558">
        <v>77</v>
      </c>
      <c r="B156" s="580" t="s">
        <v>548</v>
      </c>
      <c r="C156" s="559" t="s">
        <v>1977</v>
      </c>
      <c r="D156" s="559">
        <v>1</v>
      </c>
      <c r="E156" s="559">
        <v>1</v>
      </c>
      <c r="F156" s="560" t="s">
        <v>415</v>
      </c>
      <c r="G156" s="561" t="s">
        <v>416</v>
      </c>
      <c r="H156" s="559" t="s">
        <v>1975</v>
      </c>
      <c r="I156" s="575">
        <v>29</v>
      </c>
      <c r="J156" s="563" t="s">
        <v>1975</v>
      </c>
      <c r="K156" s="564" t="s">
        <v>373</v>
      </c>
      <c r="L156" s="565">
        <v>0</v>
      </c>
      <c r="M156" s="565">
        <v>0</v>
      </c>
    </row>
    <row r="157" spans="1:13" s="92" customFormat="1" ht="12.75">
      <c r="A157" s="566"/>
      <c r="B157" s="568" t="s">
        <v>566</v>
      </c>
      <c r="C157" s="568"/>
      <c r="D157" s="568"/>
      <c r="E157" s="568"/>
      <c r="F157" s="568"/>
      <c r="G157" s="570"/>
      <c r="H157" s="568"/>
      <c r="I157" s="576">
        <v>0</v>
      </c>
      <c r="J157" s="572"/>
      <c r="K157" s="573"/>
      <c r="L157" s="574"/>
      <c r="M157" s="574"/>
    </row>
    <row r="158" spans="1:13" s="92" customFormat="1" ht="12.75">
      <c r="A158" s="558">
        <v>78</v>
      </c>
      <c r="B158" s="580" t="s">
        <v>548</v>
      </c>
      <c r="C158" s="559" t="s">
        <v>1977</v>
      </c>
      <c r="D158" s="559">
        <v>1</v>
      </c>
      <c r="E158" s="559">
        <v>1</v>
      </c>
      <c r="F158" s="560" t="s">
        <v>415</v>
      </c>
      <c r="G158" s="561" t="s">
        <v>416</v>
      </c>
      <c r="H158" s="559" t="s">
        <v>1975</v>
      </c>
      <c r="I158" s="575">
        <v>1599</v>
      </c>
      <c r="J158" s="563" t="s">
        <v>1975</v>
      </c>
      <c r="K158" s="564" t="s">
        <v>373</v>
      </c>
      <c r="L158" s="565">
        <v>0</v>
      </c>
      <c r="M158" s="565">
        <v>0</v>
      </c>
    </row>
    <row r="159" spans="1:13" s="92" customFormat="1" ht="12.75">
      <c r="A159" s="566"/>
      <c r="B159" s="568" t="s">
        <v>567</v>
      </c>
      <c r="C159" s="568"/>
      <c r="D159" s="568"/>
      <c r="E159" s="568"/>
      <c r="F159" s="568"/>
      <c r="G159" s="570"/>
      <c r="H159" s="568"/>
      <c r="I159" s="576">
        <v>0</v>
      </c>
      <c r="J159" s="572"/>
      <c r="K159" s="573"/>
      <c r="L159" s="574"/>
      <c r="M159" s="574"/>
    </row>
    <row r="160" spans="1:13" s="92" customFormat="1" ht="12.75">
      <c r="A160" s="558">
        <v>79</v>
      </c>
      <c r="B160" s="580" t="s">
        <v>548</v>
      </c>
      <c r="C160" s="559" t="s">
        <v>1977</v>
      </c>
      <c r="D160" s="559">
        <v>1</v>
      </c>
      <c r="E160" s="559">
        <v>1</v>
      </c>
      <c r="F160" s="560" t="s">
        <v>415</v>
      </c>
      <c r="G160" s="561" t="s">
        <v>416</v>
      </c>
      <c r="H160" s="559" t="s">
        <v>1975</v>
      </c>
      <c r="I160" s="575">
        <v>5611</v>
      </c>
      <c r="J160" s="563" t="s">
        <v>1975</v>
      </c>
      <c r="K160" s="564" t="s">
        <v>373</v>
      </c>
      <c r="L160" s="565">
        <v>0</v>
      </c>
      <c r="M160" s="565">
        <v>0</v>
      </c>
    </row>
    <row r="161" spans="1:13" s="92" customFormat="1" ht="12.75">
      <c r="A161" s="566"/>
      <c r="B161" s="568" t="s">
        <v>568</v>
      </c>
      <c r="C161" s="568"/>
      <c r="D161" s="568"/>
      <c r="E161" s="568"/>
      <c r="F161" s="568"/>
      <c r="G161" s="570"/>
      <c r="H161" s="568"/>
      <c r="I161" s="576">
        <v>0</v>
      </c>
      <c r="J161" s="572"/>
      <c r="K161" s="573"/>
      <c r="L161" s="574"/>
      <c r="M161" s="574"/>
    </row>
    <row r="162" spans="1:13" s="92" customFormat="1" ht="12.75">
      <c r="A162" s="558">
        <v>80</v>
      </c>
      <c r="B162" s="580" t="s">
        <v>548</v>
      </c>
      <c r="C162" s="559" t="s">
        <v>1977</v>
      </c>
      <c r="D162" s="559">
        <v>1</v>
      </c>
      <c r="E162" s="559" t="s">
        <v>1978</v>
      </c>
      <c r="F162" s="560" t="s">
        <v>422</v>
      </c>
      <c r="G162" s="561" t="s">
        <v>404</v>
      </c>
      <c r="H162" s="559" t="s">
        <v>1975</v>
      </c>
      <c r="I162" s="578">
        <v>4383</v>
      </c>
      <c r="J162" s="563" t="s">
        <v>1975</v>
      </c>
      <c r="K162" s="582"/>
      <c r="L162" s="565">
        <v>0</v>
      </c>
      <c r="M162" s="565">
        <v>0</v>
      </c>
    </row>
    <row r="163" spans="1:13" s="92" customFormat="1" ht="12.75">
      <c r="A163" s="566"/>
      <c r="B163" s="568" t="s">
        <v>569</v>
      </c>
      <c r="C163" s="568"/>
      <c r="D163" s="568"/>
      <c r="E163" s="568"/>
      <c r="F163" s="569" t="s">
        <v>424</v>
      </c>
      <c r="G163" s="570" t="s">
        <v>425</v>
      </c>
      <c r="H163" s="568"/>
      <c r="I163" s="578">
        <v>0</v>
      </c>
      <c r="J163" s="583"/>
      <c r="K163" s="582"/>
      <c r="L163" s="574"/>
      <c r="M163" s="574"/>
    </row>
    <row r="164" spans="1:13" s="92" customFormat="1" ht="12.75">
      <c r="A164" s="558">
        <v>81</v>
      </c>
      <c r="B164" s="580" t="s">
        <v>548</v>
      </c>
      <c r="C164" s="559" t="s">
        <v>1977</v>
      </c>
      <c r="D164" s="559">
        <v>1</v>
      </c>
      <c r="E164" s="559">
        <v>1</v>
      </c>
      <c r="F164" s="560" t="s">
        <v>415</v>
      </c>
      <c r="G164" s="561" t="s">
        <v>416</v>
      </c>
      <c r="H164" s="559" t="s">
        <v>1975</v>
      </c>
      <c r="I164" s="575">
        <v>2115</v>
      </c>
      <c r="J164" s="563" t="s">
        <v>1975</v>
      </c>
      <c r="K164" s="564" t="s">
        <v>373</v>
      </c>
      <c r="L164" s="565">
        <v>0</v>
      </c>
      <c r="M164" s="565">
        <v>0</v>
      </c>
    </row>
    <row r="165" spans="1:13" s="92" customFormat="1" ht="12.75">
      <c r="A165" s="579"/>
      <c r="B165" s="568" t="s">
        <v>570</v>
      </c>
      <c r="C165" s="568"/>
      <c r="D165" s="568"/>
      <c r="E165" s="568"/>
      <c r="F165" s="568"/>
      <c r="G165" s="570"/>
      <c r="H165" s="568"/>
      <c r="I165" s="576">
        <v>0</v>
      </c>
      <c r="J165" s="572"/>
      <c r="K165" s="573"/>
      <c r="L165" s="574"/>
      <c r="M165" s="574"/>
    </row>
    <row r="166" spans="1:13" s="92" customFormat="1" ht="12.75">
      <c r="A166" s="558">
        <v>82</v>
      </c>
      <c r="B166" s="580" t="s">
        <v>548</v>
      </c>
      <c r="C166" s="559" t="s">
        <v>1977</v>
      </c>
      <c r="D166" s="559">
        <v>1</v>
      </c>
      <c r="E166" s="559">
        <v>1</v>
      </c>
      <c r="F166" s="560" t="s">
        <v>415</v>
      </c>
      <c r="G166" s="561" t="s">
        <v>416</v>
      </c>
      <c r="H166" s="559" t="s">
        <v>1975</v>
      </c>
      <c r="I166" s="575">
        <v>3750</v>
      </c>
      <c r="J166" s="563" t="s">
        <v>1975</v>
      </c>
      <c r="K166" s="564" t="s">
        <v>373</v>
      </c>
      <c r="L166" s="565">
        <v>0</v>
      </c>
      <c r="M166" s="565">
        <v>0</v>
      </c>
    </row>
    <row r="167" spans="1:13" s="92" customFormat="1" ht="12.75">
      <c r="A167" s="566"/>
      <c r="B167" s="568" t="s">
        <v>571</v>
      </c>
      <c r="C167" s="568"/>
      <c r="D167" s="568"/>
      <c r="E167" s="568"/>
      <c r="F167" s="568"/>
      <c r="G167" s="570"/>
      <c r="H167" s="568"/>
      <c r="I167" s="576">
        <v>0</v>
      </c>
      <c r="J167" s="572"/>
      <c r="K167" s="573"/>
      <c r="L167" s="574"/>
      <c r="M167" s="574"/>
    </row>
    <row r="168" spans="1:13" s="92" customFormat="1" ht="12.75">
      <c r="A168" s="558">
        <v>83</v>
      </c>
      <c r="B168" s="580" t="s">
        <v>548</v>
      </c>
      <c r="C168" s="559" t="s">
        <v>1977</v>
      </c>
      <c r="D168" s="559">
        <v>1</v>
      </c>
      <c r="E168" s="559">
        <v>1</v>
      </c>
      <c r="F168" s="560" t="s">
        <v>415</v>
      </c>
      <c r="G168" s="561" t="s">
        <v>416</v>
      </c>
      <c r="H168" s="559" t="s">
        <v>1975</v>
      </c>
      <c r="I168" s="575">
        <v>3261</v>
      </c>
      <c r="J168" s="563" t="s">
        <v>1975</v>
      </c>
      <c r="K168" s="564" t="s">
        <v>373</v>
      </c>
      <c r="L168" s="565">
        <v>0</v>
      </c>
      <c r="M168" s="565">
        <v>0</v>
      </c>
    </row>
    <row r="169" spans="1:13" s="92" customFormat="1" ht="12.75">
      <c r="A169" s="566"/>
      <c r="B169" s="568" t="s">
        <v>572</v>
      </c>
      <c r="C169" s="568"/>
      <c r="D169" s="568"/>
      <c r="E169" s="568"/>
      <c r="F169" s="568"/>
      <c r="G169" s="570"/>
      <c r="H169" s="568"/>
      <c r="I169" s="576">
        <v>0</v>
      </c>
      <c r="J169" s="572"/>
      <c r="K169" s="573"/>
      <c r="L169" s="574"/>
      <c r="M169" s="574"/>
    </row>
    <row r="170" spans="1:13" s="92" customFormat="1" ht="12.75">
      <c r="A170" s="558">
        <v>84</v>
      </c>
      <c r="B170" s="580" t="s">
        <v>548</v>
      </c>
      <c r="C170" s="559" t="s">
        <v>1977</v>
      </c>
      <c r="D170" s="559">
        <v>1</v>
      </c>
      <c r="E170" s="559">
        <v>1</v>
      </c>
      <c r="F170" s="560" t="s">
        <v>415</v>
      </c>
      <c r="G170" s="561" t="s">
        <v>416</v>
      </c>
      <c r="H170" s="559" t="s">
        <v>1975</v>
      </c>
      <c r="I170" s="575">
        <v>16769</v>
      </c>
      <c r="J170" s="563" t="s">
        <v>1975</v>
      </c>
      <c r="K170" s="564" t="s">
        <v>373</v>
      </c>
      <c r="L170" s="565">
        <v>0</v>
      </c>
      <c r="M170" s="565">
        <v>0</v>
      </c>
    </row>
    <row r="171" spans="1:13" s="92" customFormat="1" ht="12.75">
      <c r="A171" s="566"/>
      <c r="B171" s="568" t="s">
        <v>573</v>
      </c>
      <c r="C171" s="568"/>
      <c r="D171" s="568"/>
      <c r="E171" s="568"/>
      <c r="F171" s="568"/>
      <c r="G171" s="570"/>
      <c r="H171" s="568"/>
      <c r="I171" s="576">
        <v>0</v>
      </c>
      <c r="J171" s="572"/>
      <c r="K171" s="573"/>
      <c r="L171" s="574"/>
      <c r="M171" s="574"/>
    </row>
    <row r="172" spans="1:13" s="92" customFormat="1" ht="12.75">
      <c r="A172" s="558">
        <v>85</v>
      </c>
      <c r="B172" s="580" t="s">
        <v>548</v>
      </c>
      <c r="C172" s="559" t="s">
        <v>1977</v>
      </c>
      <c r="D172" s="559">
        <v>1</v>
      </c>
      <c r="E172" s="559">
        <v>1</v>
      </c>
      <c r="F172" s="560" t="s">
        <v>415</v>
      </c>
      <c r="G172" s="561" t="s">
        <v>416</v>
      </c>
      <c r="H172" s="559" t="s">
        <v>1975</v>
      </c>
      <c r="I172" s="575">
        <v>3979</v>
      </c>
      <c r="J172" s="563" t="s">
        <v>1975</v>
      </c>
      <c r="K172" s="564" t="s">
        <v>373</v>
      </c>
      <c r="L172" s="565">
        <v>0</v>
      </c>
      <c r="M172" s="565">
        <v>0</v>
      </c>
    </row>
    <row r="173" spans="1:13" s="92" customFormat="1" ht="12.75">
      <c r="A173" s="566"/>
      <c r="B173" s="568" t="s">
        <v>574</v>
      </c>
      <c r="C173" s="568"/>
      <c r="D173" s="568"/>
      <c r="E173" s="568"/>
      <c r="F173" s="568"/>
      <c r="G173" s="570"/>
      <c r="H173" s="568"/>
      <c r="I173" s="576">
        <v>0</v>
      </c>
      <c r="J173" s="572"/>
      <c r="K173" s="573"/>
      <c r="L173" s="574"/>
      <c r="M173" s="574"/>
    </row>
    <row r="174" spans="1:13" s="92" customFormat="1" ht="12.75">
      <c r="A174" s="558">
        <v>86</v>
      </c>
      <c r="B174" s="580" t="s">
        <v>548</v>
      </c>
      <c r="C174" s="559" t="s">
        <v>1977</v>
      </c>
      <c r="D174" s="559">
        <v>1</v>
      </c>
      <c r="E174" s="559">
        <v>1</v>
      </c>
      <c r="F174" s="560" t="s">
        <v>415</v>
      </c>
      <c r="G174" s="561" t="s">
        <v>416</v>
      </c>
      <c r="H174" s="559" t="s">
        <v>1975</v>
      </c>
      <c r="I174" s="575">
        <v>3267</v>
      </c>
      <c r="J174" s="563" t="s">
        <v>1975</v>
      </c>
      <c r="K174" s="564" t="s">
        <v>373</v>
      </c>
      <c r="L174" s="565">
        <v>0</v>
      </c>
      <c r="M174" s="565">
        <v>0</v>
      </c>
    </row>
    <row r="175" spans="1:13" s="92" customFormat="1" ht="12.75">
      <c r="A175" s="566"/>
      <c r="B175" s="568" t="s">
        <v>575</v>
      </c>
      <c r="C175" s="568"/>
      <c r="D175" s="568"/>
      <c r="E175" s="568"/>
      <c r="F175" s="568"/>
      <c r="G175" s="570"/>
      <c r="H175" s="568"/>
      <c r="I175" s="576">
        <v>0</v>
      </c>
      <c r="J175" s="572"/>
      <c r="K175" s="573"/>
      <c r="L175" s="574"/>
      <c r="M175" s="574"/>
    </row>
    <row r="176" spans="1:13" s="92" customFormat="1" ht="12.75">
      <c r="A176" s="558">
        <v>87</v>
      </c>
      <c r="B176" s="580" t="s">
        <v>548</v>
      </c>
      <c r="C176" s="559" t="s">
        <v>1977</v>
      </c>
      <c r="D176" s="559">
        <v>1</v>
      </c>
      <c r="E176" s="559">
        <v>1</v>
      </c>
      <c r="F176" s="560" t="s">
        <v>415</v>
      </c>
      <c r="G176" s="561" t="s">
        <v>416</v>
      </c>
      <c r="H176" s="559" t="s">
        <v>1975</v>
      </c>
      <c r="I176" s="575">
        <v>2515</v>
      </c>
      <c r="J176" s="563" t="s">
        <v>1975</v>
      </c>
      <c r="K176" s="564" t="s">
        <v>373</v>
      </c>
      <c r="L176" s="565">
        <v>0</v>
      </c>
      <c r="M176" s="565">
        <v>0</v>
      </c>
    </row>
    <row r="177" spans="1:13" s="92" customFormat="1" ht="12.75">
      <c r="A177" s="566"/>
      <c r="B177" s="568" t="s">
        <v>576</v>
      </c>
      <c r="C177" s="568"/>
      <c r="D177" s="568"/>
      <c r="E177" s="568"/>
      <c r="F177" s="568"/>
      <c r="G177" s="570"/>
      <c r="H177" s="568"/>
      <c r="I177" s="576">
        <v>0</v>
      </c>
      <c r="J177" s="572"/>
      <c r="K177" s="573"/>
      <c r="L177" s="574"/>
      <c r="M177" s="574"/>
    </row>
    <row r="178" spans="1:13" s="92" customFormat="1" ht="12.75">
      <c r="A178" s="558">
        <v>88</v>
      </c>
      <c r="B178" s="580" t="s">
        <v>548</v>
      </c>
      <c r="C178" s="559" t="s">
        <v>1977</v>
      </c>
      <c r="D178" s="559">
        <v>1</v>
      </c>
      <c r="E178" s="559">
        <v>1</v>
      </c>
      <c r="F178" s="560" t="s">
        <v>415</v>
      </c>
      <c r="G178" s="561" t="s">
        <v>416</v>
      </c>
      <c r="H178" s="559" t="s">
        <v>1975</v>
      </c>
      <c r="I178" s="575">
        <v>46</v>
      </c>
      <c r="J178" s="563" t="s">
        <v>1975</v>
      </c>
      <c r="K178" s="564" t="s">
        <v>373</v>
      </c>
      <c r="L178" s="565">
        <v>0</v>
      </c>
      <c r="M178" s="565">
        <v>0</v>
      </c>
    </row>
    <row r="179" spans="1:13" s="92" customFormat="1" ht="12.75">
      <c r="A179" s="566"/>
      <c r="B179" s="568" t="s">
        <v>577</v>
      </c>
      <c r="C179" s="568"/>
      <c r="D179" s="568"/>
      <c r="E179" s="568"/>
      <c r="F179" s="568"/>
      <c r="G179" s="570"/>
      <c r="H179" s="568"/>
      <c r="I179" s="576">
        <v>0</v>
      </c>
      <c r="J179" s="572"/>
      <c r="K179" s="573"/>
      <c r="L179" s="574"/>
      <c r="M179" s="574"/>
    </row>
    <row r="180" spans="1:13" s="92" customFormat="1" ht="12.75">
      <c r="A180" s="558">
        <v>89</v>
      </c>
      <c r="B180" s="580" t="s">
        <v>548</v>
      </c>
      <c r="C180" s="559" t="s">
        <v>1977</v>
      </c>
      <c r="D180" s="559">
        <v>1</v>
      </c>
      <c r="E180" s="559">
        <v>1</v>
      </c>
      <c r="F180" s="560" t="s">
        <v>415</v>
      </c>
      <c r="G180" s="561" t="s">
        <v>416</v>
      </c>
      <c r="H180" s="559" t="s">
        <v>1975</v>
      </c>
      <c r="I180" s="575">
        <v>3063</v>
      </c>
      <c r="J180" s="563" t="s">
        <v>1975</v>
      </c>
      <c r="K180" s="564" t="s">
        <v>373</v>
      </c>
      <c r="L180" s="565">
        <v>0</v>
      </c>
      <c r="M180" s="565">
        <v>0</v>
      </c>
    </row>
    <row r="181" spans="1:13" s="92" customFormat="1" ht="12.75">
      <c r="A181" s="566"/>
      <c r="B181" s="568" t="s">
        <v>578</v>
      </c>
      <c r="C181" s="568"/>
      <c r="D181" s="568"/>
      <c r="E181" s="568"/>
      <c r="F181" s="568"/>
      <c r="G181" s="570"/>
      <c r="H181" s="568"/>
      <c r="I181" s="576">
        <v>0</v>
      </c>
      <c r="J181" s="572"/>
      <c r="K181" s="573"/>
      <c r="L181" s="574"/>
      <c r="M181" s="574"/>
    </row>
    <row r="182" spans="1:13" s="92" customFormat="1" ht="12.75">
      <c r="A182" s="558">
        <v>90</v>
      </c>
      <c r="B182" s="580" t="s">
        <v>548</v>
      </c>
      <c r="C182" s="559" t="s">
        <v>1977</v>
      </c>
      <c r="D182" s="559">
        <v>1</v>
      </c>
      <c r="E182" s="559">
        <v>1</v>
      </c>
      <c r="F182" s="560" t="s">
        <v>415</v>
      </c>
      <c r="G182" s="561" t="s">
        <v>416</v>
      </c>
      <c r="H182" s="559" t="s">
        <v>1975</v>
      </c>
      <c r="I182" s="575">
        <v>6262</v>
      </c>
      <c r="J182" s="563" t="s">
        <v>1975</v>
      </c>
      <c r="K182" s="564" t="s">
        <v>373</v>
      </c>
      <c r="L182" s="565">
        <v>0</v>
      </c>
      <c r="M182" s="565">
        <v>0</v>
      </c>
    </row>
    <row r="183" spans="1:13" s="92" customFormat="1" ht="12.75">
      <c r="A183" s="566"/>
      <c r="B183" s="568" t="s">
        <v>579</v>
      </c>
      <c r="C183" s="568"/>
      <c r="D183" s="568"/>
      <c r="E183" s="568"/>
      <c r="F183" s="568"/>
      <c r="G183" s="570"/>
      <c r="H183" s="568"/>
      <c r="I183" s="576">
        <v>0</v>
      </c>
      <c r="J183" s="572"/>
      <c r="K183" s="573"/>
      <c r="L183" s="574"/>
      <c r="M183" s="574"/>
    </row>
    <row r="184" spans="1:13" s="92" customFormat="1" ht="12.75">
      <c r="A184" s="558">
        <v>91</v>
      </c>
      <c r="B184" s="580" t="s">
        <v>548</v>
      </c>
      <c r="C184" s="559" t="s">
        <v>1977</v>
      </c>
      <c r="D184" s="559">
        <v>1</v>
      </c>
      <c r="E184" s="559">
        <v>1</v>
      </c>
      <c r="F184" s="560" t="s">
        <v>415</v>
      </c>
      <c r="G184" s="561" t="s">
        <v>416</v>
      </c>
      <c r="H184" s="559" t="s">
        <v>1975</v>
      </c>
      <c r="I184" s="575">
        <v>2043</v>
      </c>
      <c r="J184" s="563" t="s">
        <v>1975</v>
      </c>
      <c r="K184" s="564" t="s">
        <v>373</v>
      </c>
      <c r="L184" s="565">
        <v>0</v>
      </c>
      <c r="M184" s="565">
        <v>0</v>
      </c>
    </row>
    <row r="185" spans="1:13" s="92" customFormat="1" ht="12.75">
      <c r="A185" s="566"/>
      <c r="B185" s="568" t="s">
        <v>580</v>
      </c>
      <c r="C185" s="568"/>
      <c r="D185" s="568"/>
      <c r="E185" s="568"/>
      <c r="F185" s="568"/>
      <c r="G185" s="570"/>
      <c r="H185" s="568"/>
      <c r="I185" s="576">
        <v>0</v>
      </c>
      <c r="J185" s="572"/>
      <c r="K185" s="573"/>
      <c r="L185" s="574"/>
      <c r="M185" s="574"/>
    </row>
    <row r="186" spans="1:13" s="92" customFormat="1" ht="12.75">
      <c r="A186" s="558">
        <v>92</v>
      </c>
      <c r="B186" s="580" t="s">
        <v>548</v>
      </c>
      <c r="C186" s="559" t="s">
        <v>1977</v>
      </c>
      <c r="D186" s="559">
        <v>1</v>
      </c>
      <c r="E186" s="559">
        <v>1</v>
      </c>
      <c r="F186" s="560" t="s">
        <v>415</v>
      </c>
      <c r="G186" s="561" t="s">
        <v>416</v>
      </c>
      <c r="H186" s="559" t="s">
        <v>1975</v>
      </c>
      <c r="I186" s="575">
        <v>4860</v>
      </c>
      <c r="J186" s="563" t="s">
        <v>1975</v>
      </c>
      <c r="K186" s="564" t="s">
        <v>373</v>
      </c>
      <c r="L186" s="565">
        <v>0</v>
      </c>
      <c r="M186" s="565">
        <v>0</v>
      </c>
    </row>
    <row r="187" spans="1:13" s="92" customFormat="1" ht="12.75">
      <c r="A187" s="566"/>
      <c r="B187" s="568" t="s">
        <v>581</v>
      </c>
      <c r="C187" s="568"/>
      <c r="D187" s="568"/>
      <c r="E187" s="568"/>
      <c r="F187" s="568"/>
      <c r="G187" s="570"/>
      <c r="H187" s="568"/>
      <c r="I187" s="576">
        <v>0</v>
      </c>
      <c r="J187" s="572"/>
      <c r="K187" s="573"/>
      <c r="L187" s="574"/>
      <c r="M187" s="574"/>
    </row>
    <row r="188" spans="1:13" s="92" customFormat="1" ht="12.75">
      <c r="A188" s="558">
        <v>93</v>
      </c>
      <c r="B188" s="580" t="s">
        <v>548</v>
      </c>
      <c r="C188" s="559" t="s">
        <v>1977</v>
      </c>
      <c r="D188" s="559">
        <v>1</v>
      </c>
      <c r="E188" s="559">
        <v>1</v>
      </c>
      <c r="F188" s="560" t="s">
        <v>415</v>
      </c>
      <c r="G188" s="561" t="s">
        <v>416</v>
      </c>
      <c r="H188" s="559" t="s">
        <v>1975</v>
      </c>
      <c r="I188" s="575">
        <v>6731</v>
      </c>
      <c r="J188" s="563" t="s">
        <v>1975</v>
      </c>
      <c r="K188" s="564" t="s">
        <v>373</v>
      </c>
      <c r="L188" s="565">
        <v>0</v>
      </c>
      <c r="M188" s="565">
        <v>0</v>
      </c>
    </row>
    <row r="189" spans="1:13" s="92" customFormat="1" ht="12.75">
      <c r="A189" s="566"/>
      <c r="B189" s="568" t="s">
        <v>582</v>
      </c>
      <c r="C189" s="568"/>
      <c r="D189" s="568"/>
      <c r="E189" s="568"/>
      <c r="F189" s="568"/>
      <c r="G189" s="570"/>
      <c r="H189" s="568"/>
      <c r="I189" s="576">
        <v>0</v>
      </c>
      <c r="J189" s="572"/>
      <c r="K189" s="573"/>
      <c r="L189" s="574"/>
      <c r="M189" s="574"/>
    </row>
    <row r="190" spans="1:13" s="92" customFormat="1" ht="12.75">
      <c r="A190" s="558">
        <v>94</v>
      </c>
      <c r="B190" s="580" t="s">
        <v>548</v>
      </c>
      <c r="C190" s="559" t="s">
        <v>1977</v>
      </c>
      <c r="D190" s="559">
        <v>1</v>
      </c>
      <c r="E190" s="559">
        <v>1</v>
      </c>
      <c r="F190" s="560" t="s">
        <v>415</v>
      </c>
      <c r="G190" s="561" t="s">
        <v>416</v>
      </c>
      <c r="H190" s="559" t="s">
        <v>1975</v>
      </c>
      <c r="I190" s="575">
        <v>6520</v>
      </c>
      <c r="J190" s="563" t="s">
        <v>1975</v>
      </c>
      <c r="K190" s="564" t="s">
        <v>373</v>
      </c>
      <c r="L190" s="565">
        <v>0</v>
      </c>
      <c r="M190" s="565">
        <v>0</v>
      </c>
    </row>
    <row r="191" spans="1:13" s="92" customFormat="1" ht="12.75">
      <c r="A191" s="566"/>
      <c r="B191" s="568" t="s">
        <v>583</v>
      </c>
      <c r="C191" s="568"/>
      <c r="D191" s="568"/>
      <c r="E191" s="568"/>
      <c r="F191" s="568"/>
      <c r="G191" s="570"/>
      <c r="H191" s="568"/>
      <c r="I191" s="576">
        <v>0</v>
      </c>
      <c r="J191" s="572"/>
      <c r="K191" s="573"/>
      <c r="L191" s="574"/>
      <c r="M191" s="574"/>
    </row>
    <row r="192" spans="1:13" s="92" customFormat="1" ht="12.75">
      <c r="A192" s="558">
        <v>95</v>
      </c>
      <c r="B192" s="580" t="s">
        <v>548</v>
      </c>
      <c r="C192" s="559" t="s">
        <v>1977</v>
      </c>
      <c r="D192" s="559">
        <v>1</v>
      </c>
      <c r="E192" s="559">
        <v>1</v>
      </c>
      <c r="F192" s="560" t="s">
        <v>415</v>
      </c>
      <c r="G192" s="561" t="s">
        <v>416</v>
      </c>
      <c r="H192" s="559" t="s">
        <v>1975</v>
      </c>
      <c r="I192" s="575">
        <v>336</v>
      </c>
      <c r="J192" s="563" t="s">
        <v>1975</v>
      </c>
      <c r="K192" s="564" t="s">
        <v>373</v>
      </c>
      <c r="L192" s="565">
        <v>0</v>
      </c>
      <c r="M192" s="565">
        <v>0</v>
      </c>
    </row>
    <row r="193" spans="1:13" s="92" customFormat="1" ht="12.75">
      <c r="A193" s="566"/>
      <c r="B193" s="568" t="s">
        <v>584</v>
      </c>
      <c r="C193" s="568"/>
      <c r="D193" s="568"/>
      <c r="E193" s="568"/>
      <c r="F193" s="568"/>
      <c r="G193" s="570"/>
      <c r="H193" s="568"/>
      <c r="I193" s="576">
        <v>0</v>
      </c>
      <c r="J193" s="572"/>
      <c r="K193" s="573"/>
      <c r="L193" s="574"/>
      <c r="M193" s="574"/>
    </row>
    <row r="194" spans="1:13" s="92" customFormat="1" ht="12.75">
      <c r="A194" s="558">
        <v>96</v>
      </c>
      <c r="B194" s="580" t="s">
        <v>548</v>
      </c>
      <c r="C194" s="559" t="s">
        <v>1977</v>
      </c>
      <c r="D194" s="559">
        <v>1</v>
      </c>
      <c r="E194" s="559">
        <v>1</v>
      </c>
      <c r="F194" s="560" t="s">
        <v>415</v>
      </c>
      <c r="G194" s="561" t="s">
        <v>416</v>
      </c>
      <c r="H194" s="559" t="s">
        <v>1975</v>
      </c>
      <c r="I194" s="575">
        <v>336</v>
      </c>
      <c r="J194" s="563" t="s">
        <v>1975</v>
      </c>
      <c r="K194" s="564" t="s">
        <v>373</v>
      </c>
      <c r="L194" s="565">
        <v>0</v>
      </c>
      <c r="M194" s="565">
        <v>0</v>
      </c>
    </row>
    <row r="195" spans="1:13" s="92" customFormat="1" ht="12.75">
      <c r="A195" s="566"/>
      <c r="B195" s="568" t="s">
        <v>585</v>
      </c>
      <c r="C195" s="568"/>
      <c r="D195" s="568"/>
      <c r="E195" s="568"/>
      <c r="F195" s="568"/>
      <c r="G195" s="570"/>
      <c r="H195" s="568"/>
      <c r="I195" s="576">
        <v>0</v>
      </c>
      <c r="J195" s="572"/>
      <c r="K195" s="573"/>
      <c r="L195" s="574"/>
      <c r="M195" s="574"/>
    </row>
    <row r="196" spans="1:13" s="92" customFormat="1" ht="12.75">
      <c r="A196" s="558">
        <v>97</v>
      </c>
      <c r="B196" s="580" t="s">
        <v>548</v>
      </c>
      <c r="C196" s="559" t="s">
        <v>1977</v>
      </c>
      <c r="D196" s="559">
        <v>1</v>
      </c>
      <c r="E196" s="559">
        <v>1</v>
      </c>
      <c r="F196" s="560" t="s">
        <v>415</v>
      </c>
      <c r="G196" s="561" t="s">
        <v>416</v>
      </c>
      <c r="H196" s="559" t="s">
        <v>1975</v>
      </c>
      <c r="I196" s="575">
        <v>1654</v>
      </c>
      <c r="J196" s="563" t="s">
        <v>1975</v>
      </c>
      <c r="K196" s="564" t="s">
        <v>373</v>
      </c>
      <c r="L196" s="565">
        <v>0</v>
      </c>
      <c r="M196" s="565">
        <v>0</v>
      </c>
    </row>
    <row r="197" spans="1:13" s="92" customFormat="1" ht="12.75">
      <c r="A197" s="566"/>
      <c r="B197" s="568" t="s">
        <v>586</v>
      </c>
      <c r="C197" s="568"/>
      <c r="D197" s="568"/>
      <c r="E197" s="568"/>
      <c r="F197" s="568"/>
      <c r="G197" s="570"/>
      <c r="H197" s="568"/>
      <c r="I197" s="576">
        <v>0</v>
      </c>
      <c r="J197" s="572"/>
      <c r="K197" s="573"/>
      <c r="L197" s="574"/>
      <c r="M197" s="574"/>
    </row>
    <row r="198" spans="1:13" s="92" customFormat="1" ht="12.75">
      <c r="A198" s="558">
        <v>98</v>
      </c>
      <c r="B198" s="580" t="s">
        <v>548</v>
      </c>
      <c r="C198" s="559" t="s">
        <v>1977</v>
      </c>
      <c r="D198" s="559">
        <v>1</v>
      </c>
      <c r="E198" s="559">
        <v>1</v>
      </c>
      <c r="F198" s="560" t="s">
        <v>415</v>
      </c>
      <c r="G198" s="561" t="s">
        <v>416</v>
      </c>
      <c r="H198" s="559" t="s">
        <v>1975</v>
      </c>
      <c r="I198" s="575">
        <v>2084</v>
      </c>
      <c r="J198" s="563" t="s">
        <v>1975</v>
      </c>
      <c r="K198" s="564" t="s">
        <v>373</v>
      </c>
      <c r="L198" s="565">
        <v>0</v>
      </c>
      <c r="M198" s="565">
        <v>0</v>
      </c>
    </row>
    <row r="199" spans="1:13" s="92" customFormat="1" ht="12.75">
      <c r="A199" s="566"/>
      <c r="B199" s="568" t="s">
        <v>587</v>
      </c>
      <c r="C199" s="568"/>
      <c r="D199" s="568"/>
      <c r="E199" s="568"/>
      <c r="F199" s="568"/>
      <c r="G199" s="570"/>
      <c r="H199" s="568"/>
      <c r="I199" s="576">
        <v>0</v>
      </c>
      <c r="J199" s="572"/>
      <c r="K199" s="573"/>
      <c r="L199" s="574"/>
      <c r="M199" s="574"/>
    </row>
    <row r="200" spans="1:13" s="92" customFormat="1" ht="12.75">
      <c r="A200" s="558">
        <v>99</v>
      </c>
      <c r="B200" s="580" t="s">
        <v>548</v>
      </c>
      <c r="C200" s="559" t="s">
        <v>1860</v>
      </c>
      <c r="D200" s="559">
        <v>1</v>
      </c>
      <c r="E200" s="559">
        <v>1</v>
      </c>
      <c r="F200" s="559" t="s">
        <v>588</v>
      </c>
      <c r="G200" s="561" t="s">
        <v>589</v>
      </c>
      <c r="H200" s="559" t="s">
        <v>1975</v>
      </c>
      <c r="I200" s="575">
        <v>0</v>
      </c>
      <c r="J200" s="563" t="s">
        <v>1975</v>
      </c>
      <c r="K200" s="564" t="s">
        <v>373</v>
      </c>
      <c r="L200" s="565">
        <v>0</v>
      </c>
      <c r="M200" s="565">
        <v>0</v>
      </c>
    </row>
    <row r="201" spans="1:13" s="92" customFormat="1" ht="12.75">
      <c r="A201" s="566"/>
      <c r="B201" s="568" t="s">
        <v>590</v>
      </c>
      <c r="C201" s="568"/>
      <c r="D201" s="568"/>
      <c r="E201" s="568"/>
      <c r="F201" s="569" t="s">
        <v>591</v>
      </c>
      <c r="G201" s="570"/>
      <c r="H201" s="568"/>
      <c r="I201" s="576">
        <v>0</v>
      </c>
      <c r="J201" s="572"/>
      <c r="K201" s="573"/>
      <c r="L201" s="574"/>
      <c r="M201" s="574"/>
    </row>
    <row r="202" spans="1:13" s="92" customFormat="1" ht="12.75">
      <c r="A202" s="558">
        <v>100</v>
      </c>
      <c r="B202" s="580" t="s">
        <v>548</v>
      </c>
      <c r="C202" s="559" t="s">
        <v>1860</v>
      </c>
      <c r="D202" s="559">
        <v>1</v>
      </c>
      <c r="E202" s="559">
        <v>1</v>
      </c>
      <c r="F202" s="559" t="s">
        <v>588</v>
      </c>
      <c r="G202" s="561" t="s">
        <v>589</v>
      </c>
      <c r="H202" s="559" t="s">
        <v>1975</v>
      </c>
      <c r="I202" s="575">
        <v>0</v>
      </c>
      <c r="J202" s="563" t="s">
        <v>1975</v>
      </c>
      <c r="K202" s="564" t="s">
        <v>373</v>
      </c>
      <c r="L202" s="565">
        <v>0</v>
      </c>
      <c r="M202" s="565">
        <v>0</v>
      </c>
    </row>
    <row r="203" spans="1:13" s="92" customFormat="1" ht="12.75">
      <c r="A203" s="566"/>
      <c r="B203" s="568" t="s">
        <v>592</v>
      </c>
      <c r="C203" s="568"/>
      <c r="D203" s="568"/>
      <c r="E203" s="568"/>
      <c r="F203" s="569" t="s">
        <v>591</v>
      </c>
      <c r="G203" s="570"/>
      <c r="H203" s="568"/>
      <c r="I203" s="576">
        <v>0</v>
      </c>
      <c r="J203" s="572"/>
      <c r="K203" s="573"/>
      <c r="L203" s="574"/>
      <c r="M203" s="574"/>
    </row>
    <row r="204" spans="1:13" s="92" customFormat="1" ht="12.75">
      <c r="A204" s="558">
        <v>101</v>
      </c>
      <c r="B204" s="580" t="s">
        <v>548</v>
      </c>
      <c r="C204" s="559" t="s">
        <v>1860</v>
      </c>
      <c r="D204" s="559">
        <v>1</v>
      </c>
      <c r="E204" s="559">
        <v>1</v>
      </c>
      <c r="F204" s="559" t="s">
        <v>588</v>
      </c>
      <c r="G204" s="561" t="s">
        <v>589</v>
      </c>
      <c r="H204" s="559" t="s">
        <v>1975</v>
      </c>
      <c r="I204" s="575">
        <v>0</v>
      </c>
      <c r="J204" s="563" t="s">
        <v>1975</v>
      </c>
      <c r="K204" s="564" t="s">
        <v>373</v>
      </c>
      <c r="L204" s="565">
        <v>0</v>
      </c>
      <c r="M204" s="565">
        <v>0</v>
      </c>
    </row>
    <row r="205" spans="1:13" s="92" customFormat="1" ht="12.75">
      <c r="A205" s="584"/>
      <c r="B205" s="568" t="s">
        <v>593</v>
      </c>
      <c r="C205" s="568"/>
      <c r="D205" s="568"/>
      <c r="E205" s="568"/>
      <c r="F205" s="569" t="s">
        <v>591</v>
      </c>
      <c r="G205" s="570"/>
      <c r="H205" s="568"/>
      <c r="I205" s="576">
        <v>0</v>
      </c>
      <c r="J205" s="572"/>
      <c r="K205" s="573"/>
      <c r="L205" s="574"/>
      <c r="M205" s="574"/>
    </row>
    <row r="206" spans="1:13" s="92" customFormat="1" ht="12.75">
      <c r="A206" s="558">
        <v>102</v>
      </c>
      <c r="B206" s="580" t="s">
        <v>548</v>
      </c>
      <c r="C206" s="559" t="s">
        <v>1860</v>
      </c>
      <c r="D206" s="559">
        <v>1</v>
      </c>
      <c r="E206" s="559">
        <v>1</v>
      </c>
      <c r="F206" s="559" t="s">
        <v>588</v>
      </c>
      <c r="G206" s="561" t="s">
        <v>589</v>
      </c>
      <c r="H206" s="559" t="s">
        <v>1975</v>
      </c>
      <c r="I206" s="575">
        <v>0</v>
      </c>
      <c r="J206" s="563" t="s">
        <v>1975</v>
      </c>
      <c r="K206" s="564" t="s">
        <v>373</v>
      </c>
      <c r="L206" s="565">
        <v>0</v>
      </c>
      <c r="M206" s="565">
        <v>0</v>
      </c>
    </row>
    <row r="207" spans="1:13" s="92" customFormat="1" ht="12.75">
      <c r="A207" s="566"/>
      <c r="B207" s="568" t="s">
        <v>594</v>
      </c>
      <c r="C207" s="568"/>
      <c r="D207" s="568"/>
      <c r="E207" s="568"/>
      <c r="F207" s="569" t="s">
        <v>591</v>
      </c>
      <c r="G207" s="570"/>
      <c r="H207" s="568"/>
      <c r="I207" s="576">
        <v>0</v>
      </c>
      <c r="J207" s="572"/>
      <c r="K207" s="573"/>
      <c r="L207" s="574"/>
      <c r="M207" s="574"/>
    </row>
    <row r="208" spans="1:13" s="92" customFormat="1" ht="12.75">
      <c r="A208" s="558">
        <v>103</v>
      </c>
      <c r="B208" s="580" t="s">
        <v>548</v>
      </c>
      <c r="C208" s="559" t="s">
        <v>1860</v>
      </c>
      <c r="D208" s="559">
        <v>1</v>
      </c>
      <c r="E208" s="559" t="s">
        <v>1978</v>
      </c>
      <c r="F208" s="560" t="s">
        <v>595</v>
      </c>
      <c r="G208" s="561" t="s">
        <v>589</v>
      </c>
      <c r="H208" s="559" t="s">
        <v>1975</v>
      </c>
      <c r="I208" s="575">
        <v>0</v>
      </c>
      <c r="J208" s="563" t="s">
        <v>1975</v>
      </c>
      <c r="K208" s="564" t="s">
        <v>373</v>
      </c>
      <c r="L208" s="565">
        <v>0</v>
      </c>
      <c r="M208" s="565">
        <v>0</v>
      </c>
    </row>
    <row r="209" spans="1:13" s="92" customFormat="1" ht="12.75">
      <c r="A209" s="566"/>
      <c r="B209" s="568" t="s">
        <v>596</v>
      </c>
      <c r="C209" s="568"/>
      <c r="D209" s="568"/>
      <c r="E209" s="568"/>
      <c r="F209" s="569" t="s">
        <v>597</v>
      </c>
      <c r="G209" s="570"/>
      <c r="H209" s="568"/>
      <c r="I209" s="576">
        <v>0</v>
      </c>
      <c r="J209" s="572"/>
      <c r="K209" s="573"/>
      <c r="L209" s="574"/>
      <c r="M209" s="574"/>
    </row>
    <row r="210" spans="1:13" s="92" customFormat="1" ht="12.75">
      <c r="A210" s="558">
        <v>104</v>
      </c>
      <c r="B210" s="580" t="s">
        <v>598</v>
      </c>
      <c r="C210" s="559" t="s">
        <v>2103</v>
      </c>
      <c r="D210" s="559">
        <v>0.5</v>
      </c>
      <c r="E210" s="559" t="s">
        <v>1978</v>
      </c>
      <c r="F210" s="560" t="s">
        <v>525</v>
      </c>
      <c r="G210" s="561" t="s">
        <v>526</v>
      </c>
      <c r="H210" s="559" t="s">
        <v>1975</v>
      </c>
      <c r="I210" s="575">
        <v>15190</v>
      </c>
      <c r="J210" s="563" t="s">
        <v>1975</v>
      </c>
      <c r="K210" s="564" t="s">
        <v>423</v>
      </c>
      <c r="L210" s="565">
        <v>0</v>
      </c>
      <c r="M210" s="565">
        <v>0</v>
      </c>
    </row>
    <row r="211" spans="1:13" s="92" customFormat="1" ht="12.75">
      <c r="A211" s="566"/>
      <c r="B211" s="568" t="s">
        <v>599</v>
      </c>
      <c r="C211" s="568"/>
      <c r="D211" s="568"/>
      <c r="E211" s="568"/>
      <c r="F211" s="569" t="s">
        <v>528</v>
      </c>
      <c r="G211" s="570" t="s">
        <v>529</v>
      </c>
      <c r="H211" s="568"/>
      <c r="I211" s="576">
        <v>1758</v>
      </c>
      <c r="J211" s="572"/>
      <c r="K211" s="573"/>
      <c r="L211" s="574"/>
      <c r="M211" s="574"/>
    </row>
    <row r="212" spans="1:13" s="92" customFormat="1" ht="12.75">
      <c r="A212" s="558">
        <v>105</v>
      </c>
      <c r="B212" s="580" t="s">
        <v>598</v>
      </c>
      <c r="C212" s="559" t="s">
        <v>2103</v>
      </c>
      <c r="D212" s="559">
        <v>0.5</v>
      </c>
      <c r="E212" s="559" t="s">
        <v>1978</v>
      </c>
      <c r="F212" s="560" t="s">
        <v>525</v>
      </c>
      <c r="G212" s="561" t="s">
        <v>526</v>
      </c>
      <c r="H212" s="559" t="s">
        <v>1975</v>
      </c>
      <c r="I212" s="575">
        <v>61488</v>
      </c>
      <c r="J212" s="563" t="s">
        <v>1975</v>
      </c>
      <c r="K212" s="564" t="s">
        <v>423</v>
      </c>
      <c r="L212" s="565">
        <v>0</v>
      </c>
      <c r="M212" s="565">
        <v>0</v>
      </c>
    </row>
    <row r="213" spans="1:13" s="92" customFormat="1" ht="12.75">
      <c r="A213" s="566"/>
      <c r="B213" s="568" t="s">
        <v>600</v>
      </c>
      <c r="C213" s="568"/>
      <c r="D213" s="568"/>
      <c r="E213" s="568"/>
      <c r="F213" s="569" t="s">
        <v>528</v>
      </c>
      <c r="G213" s="570" t="s">
        <v>529</v>
      </c>
      <c r="H213" s="568"/>
      <c r="I213" s="576">
        <v>0</v>
      </c>
      <c r="J213" s="572"/>
      <c r="K213" s="573"/>
      <c r="L213" s="574"/>
      <c r="M213" s="574"/>
    </row>
    <row r="214" spans="1:13" s="92" customFormat="1" ht="12.75">
      <c r="A214" s="558">
        <v>106</v>
      </c>
      <c r="B214" s="580" t="s">
        <v>598</v>
      </c>
      <c r="C214" s="559" t="s">
        <v>1777</v>
      </c>
      <c r="D214" s="559">
        <v>1</v>
      </c>
      <c r="E214" s="559" t="s">
        <v>1978</v>
      </c>
      <c r="F214" s="560" t="s">
        <v>525</v>
      </c>
      <c r="G214" s="561" t="s">
        <v>526</v>
      </c>
      <c r="H214" s="559" t="s">
        <v>1975</v>
      </c>
      <c r="I214" s="575">
        <v>1291</v>
      </c>
      <c r="J214" s="563" t="s">
        <v>1975</v>
      </c>
      <c r="K214" s="564" t="s">
        <v>373</v>
      </c>
      <c r="L214" s="565">
        <v>0</v>
      </c>
      <c r="M214" s="565">
        <v>0</v>
      </c>
    </row>
    <row r="215" spans="1:13" s="92" customFormat="1" ht="12.75">
      <c r="A215" s="566"/>
      <c r="B215" s="568" t="s">
        <v>601</v>
      </c>
      <c r="C215" s="568"/>
      <c r="D215" s="568"/>
      <c r="E215" s="568"/>
      <c r="F215" s="569" t="s">
        <v>547</v>
      </c>
      <c r="G215" s="570" t="s">
        <v>529</v>
      </c>
      <c r="H215" s="568"/>
      <c r="I215" s="576"/>
      <c r="J215" s="572"/>
      <c r="K215" s="573"/>
      <c r="L215" s="574"/>
      <c r="M215" s="574"/>
    </row>
    <row r="216" spans="1:13" s="92" customFormat="1" ht="12.75">
      <c r="A216" s="558">
        <v>107</v>
      </c>
      <c r="B216" s="580" t="s">
        <v>598</v>
      </c>
      <c r="C216" s="559" t="s">
        <v>1777</v>
      </c>
      <c r="D216" s="559">
        <v>1</v>
      </c>
      <c r="E216" s="559" t="s">
        <v>1978</v>
      </c>
      <c r="F216" s="560" t="s">
        <v>525</v>
      </c>
      <c r="G216" s="561" t="s">
        <v>526</v>
      </c>
      <c r="H216" s="559" t="s">
        <v>1975</v>
      </c>
      <c r="I216" s="575">
        <v>2239</v>
      </c>
      <c r="J216" s="563" t="s">
        <v>1975</v>
      </c>
      <c r="K216" s="564" t="s">
        <v>373</v>
      </c>
      <c r="L216" s="565">
        <v>0</v>
      </c>
      <c r="M216" s="565">
        <v>0</v>
      </c>
    </row>
    <row r="217" spans="1:13" s="92" customFormat="1" ht="12.75">
      <c r="A217" s="566"/>
      <c r="B217" s="568" t="s">
        <v>602</v>
      </c>
      <c r="C217" s="568"/>
      <c r="D217" s="568"/>
      <c r="E217" s="568"/>
      <c r="F217" s="569" t="s">
        <v>547</v>
      </c>
      <c r="G217" s="570" t="s">
        <v>529</v>
      </c>
      <c r="H217" s="568"/>
      <c r="I217" s="576"/>
      <c r="J217" s="572"/>
      <c r="K217" s="573"/>
      <c r="L217" s="574"/>
      <c r="M217" s="574"/>
    </row>
    <row r="218" spans="1:13" s="92" customFormat="1" ht="12.75">
      <c r="A218" s="558">
        <v>108</v>
      </c>
      <c r="B218" s="580" t="s">
        <v>598</v>
      </c>
      <c r="C218" s="559" t="s">
        <v>1977</v>
      </c>
      <c r="D218" s="559">
        <v>1</v>
      </c>
      <c r="E218" s="559" t="s">
        <v>1978</v>
      </c>
      <c r="F218" s="560" t="s">
        <v>525</v>
      </c>
      <c r="G218" s="561" t="s">
        <v>526</v>
      </c>
      <c r="H218" s="559" t="s">
        <v>1975</v>
      </c>
      <c r="I218" s="575">
        <v>366</v>
      </c>
      <c r="J218" s="563" t="s">
        <v>1975</v>
      </c>
      <c r="K218" s="564" t="s">
        <v>373</v>
      </c>
      <c r="L218" s="565">
        <v>0</v>
      </c>
      <c r="M218" s="565">
        <v>0</v>
      </c>
    </row>
    <row r="219" spans="1:13" s="92" customFormat="1" ht="12.75">
      <c r="A219" s="566"/>
      <c r="B219" s="568" t="s">
        <v>603</v>
      </c>
      <c r="C219" s="568"/>
      <c r="D219" s="568"/>
      <c r="E219" s="568"/>
      <c r="F219" s="569" t="s">
        <v>547</v>
      </c>
      <c r="G219" s="570" t="s">
        <v>529</v>
      </c>
      <c r="H219" s="568"/>
      <c r="I219" s="576"/>
      <c r="J219" s="572"/>
      <c r="K219" s="573"/>
      <c r="L219" s="574"/>
      <c r="M219" s="574"/>
    </row>
    <row r="220" spans="1:13" s="92" customFormat="1" ht="12.75">
      <c r="A220" s="558">
        <v>109</v>
      </c>
      <c r="B220" s="580" t="s">
        <v>598</v>
      </c>
      <c r="C220" s="559" t="s">
        <v>1977</v>
      </c>
      <c r="D220" s="559">
        <v>1</v>
      </c>
      <c r="E220" s="559" t="s">
        <v>1978</v>
      </c>
      <c r="F220" s="560" t="s">
        <v>525</v>
      </c>
      <c r="G220" s="561" t="s">
        <v>526</v>
      </c>
      <c r="H220" s="559" t="s">
        <v>1975</v>
      </c>
      <c r="I220" s="575">
        <v>387</v>
      </c>
      <c r="J220" s="563" t="s">
        <v>1975</v>
      </c>
      <c r="K220" s="564" t="s">
        <v>373</v>
      </c>
      <c r="L220" s="565">
        <v>0</v>
      </c>
      <c r="M220" s="565">
        <v>0</v>
      </c>
    </row>
    <row r="221" spans="1:13" s="92" customFormat="1" ht="12.75">
      <c r="A221" s="566"/>
      <c r="B221" s="568" t="s">
        <v>604</v>
      </c>
      <c r="C221" s="568"/>
      <c r="D221" s="568"/>
      <c r="E221" s="568"/>
      <c r="F221" s="569" t="s">
        <v>547</v>
      </c>
      <c r="G221" s="570" t="s">
        <v>529</v>
      </c>
      <c r="H221" s="568"/>
      <c r="I221" s="576"/>
      <c r="J221" s="572"/>
      <c r="K221" s="573"/>
      <c r="L221" s="574"/>
      <c r="M221" s="574"/>
    </row>
    <row r="222" spans="1:13" s="92" customFormat="1" ht="12.75">
      <c r="A222" s="558">
        <v>110</v>
      </c>
      <c r="B222" s="580" t="s">
        <v>598</v>
      </c>
      <c r="C222" s="559" t="s">
        <v>1977</v>
      </c>
      <c r="D222" s="559">
        <v>1</v>
      </c>
      <c r="E222" s="559" t="s">
        <v>1978</v>
      </c>
      <c r="F222" s="560" t="s">
        <v>525</v>
      </c>
      <c r="G222" s="561" t="s">
        <v>526</v>
      </c>
      <c r="H222" s="559" t="s">
        <v>1975</v>
      </c>
      <c r="I222" s="575">
        <v>4142</v>
      </c>
      <c r="J222" s="563" t="s">
        <v>1975</v>
      </c>
      <c r="K222" s="564" t="s">
        <v>373</v>
      </c>
      <c r="L222" s="565">
        <v>0</v>
      </c>
      <c r="M222" s="565">
        <v>0</v>
      </c>
    </row>
    <row r="223" spans="1:13" s="92" customFormat="1" ht="12.75">
      <c r="A223" s="566"/>
      <c r="B223" s="568" t="s">
        <v>605</v>
      </c>
      <c r="C223" s="568"/>
      <c r="D223" s="568"/>
      <c r="E223" s="568"/>
      <c r="F223" s="569" t="s">
        <v>547</v>
      </c>
      <c r="G223" s="570" t="s">
        <v>529</v>
      </c>
      <c r="H223" s="568"/>
      <c r="I223" s="576"/>
      <c r="J223" s="572"/>
      <c r="K223" s="573"/>
      <c r="L223" s="574"/>
      <c r="M223" s="574"/>
    </row>
    <row r="224" spans="1:13" s="92" customFormat="1" ht="12.75">
      <c r="A224" s="558">
        <v>111</v>
      </c>
      <c r="B224" s="580" t="s">
        <v>598</v>
      </c>
      <c r="C224" s="559" t="s">
        <v>1977</v>
      </c>
      <c r="D224" s="559">
        <v>1</v>
      </c>
      <c r="E224" s="559" t="s">
        <v>1978</v>
      </c>
      <c r="F224" s="560" t="s">
        <v>525</v>
      </c>
      <c r="G224" s="561" t="s">
        <v>526</v>
      </c>
      <c r="H224" s="559" t="s">
        <v>1975</v>
      </c>
      <c r="I224" s="575">
        <v>179</v>
      </c>
      <c r="J224" s="563" t="s">
        <v>1975</v>
      </c>
      <c r="K224" s="564" t="s">
        <v>373</v>
      </c>
      <c r="L224" s="565">
        <v>0</v>
      </c>
      <c r="M224" s="565">
        <v>0</v>
      </c>
    </row>
    <row r="225" spans="1:13" s="92" customFormat="1" ht="12.75">
      <c r="A225" s="584"/>
      <c r="B225" s="568" t="s">
        <v>606</v>
      </c>
      <c r="C225" s="568"/>
      <c r="D225" s="568"/>
      <c r="E225" s="568"/>
      <c r="F225" s="569" t="s">
        <v>547</v>
      </c>
      <c r="G225" s="570" t="s">
        <v>529</v>
      </c>
      <c r="H225" s="568"/>
      <c r="I225" s="576"/>
      <c r="J225" s="572"/>
      <c r="K225" s="573"/>
      <c r="L225" s="574"/>
      <c r="M225" s="574"/>
    </row>
    <row r="226" spans="1:13" s="92" customFormat="1" ht="12.75">
      <c r="A226" s="558">
        <v>112</v>
      </c>
      <c r="B226" s="580" t="s">
        <v>598</v>
      </c>
      <c r="C226" s="559" t="s">
        <v>1977</v>
      </c>
      <c r="D226" s="559">
        <v>1</v>
      </c>
      <c r="E226" s="559" t="s">
        <v>1978</v>
      </c>
      <c r="F226" s="560" t="s">
        <v>525</v>
      </c>
      <c r="G226" s="561" t="s">
        <v>526</v>
      </c>
      <c r="H226" s="559" t="s">
        <v>1975</v>
      </c>
      <c r="I226" s="575">
        <v>11</v>
      </c>
      <c r="J226" s="563" t="s">
        <v>1975</v>
      </c>
      <c r="K226" s="564" t="s">
        <v>373</v>
      </c>
      <c r="L226" s="565">
        <v>0</v>
      </c>
      <c r="M226" s="565">
        <v>0</v>
      </c>
    </row>
    <row r="227" spans="1:13" s="92" customFormat="1" ht="12.75">
      <c r="A227" s="566"/>
      <c r="B227" s="568" t="s">
        <v>607</v>
      </c>
      <c r="C227" s="568"/>
      <c r="D227" s="568"/>
      <c r="E227" s="568"/>
      <c r="F227" s="569" t="s">
        <v>547</v>
      </c>
      <c r="G227" s="570" t="s">
        <v>529</v>
      </c>
      <c r="H227" s="568"/>
      <c r="I227" s="576"/>
      <c r="J227" s="572"/>
      <c r="K227" s="573"/>
      <c r="L227" s="574"/>
      <c r="M227" s="574"/>
    </row>
    <row r="228" spans="1:13" s="92" customFormat="1" ht="12.75">
      <c r="A228" s="558">
        <v>113</v>
      </c>
      <c r="B228" s="580" t="s">
        <v>598</v>
      </c>
      <c r="C228" s="559" t="s">
        <v>1977</v>
      </c>
      <c r="D228" s="559">
        <v>1</v>
      </c>
      <c r="E228" s="559" t="s">
        <v>1978</v>
      </c>
      <c r="F228" s="560" t="s">
        <v>525</v>
      </c>
      <c r="G228" s="561" t="s">
        <v>526</v>
      </c>
      <c r="H228" s="559" t="s">
        <v>1975</v>
      </c>
      <c r="I228" s="575">
        <v>144</v>
      </c>
      <c r="J228" s="563" t="s">
        <v>1975</v>
      </c>
      <c r="K228" s="564" t="s">
        <v>373</v>
      </c>
      <c r="L228" s="565">
        <v>0</v>
      </c>
      <c r="M228" s="565">
        <v>0</v>
      </c>
    </row>
    <row r="229" spans="1:13" s="92" customFormat="1" ht="12.75">
      <c r="A229" s="566"/>
      <c r="B229" s="568" t="s">
        <v>608</v>
      </c>
      <c r="C229" s="568"/>
      <c r="D229" s="568"/>
      <c r="E229" s="568"/>
      <c r="F229" s="569" t="s">
        <v>547</v>
      </c>
      <c r="G229" s="570" t="s">
        <v>529</v>
      </c>
      <c r="H229" s="568"/>
      <c r="I229" s="576"/>
      <c r="J229" s="572"/>
      <c r="K229" s="573"/>
      <c r="L229" s="574"/>
      <c r="M229" s="574"/>
    </row>
    <row r="230" spans="1:13" s="92" customFormat="1" ht="12.75">
      <c r="A230" s="558">
        <v>114</v>
      </c>
      <c r="B230" s="580" t="s">
        <v>598</v>
      </c>
      <c r="C230" s="559" t="s">
        <v>1977</v>
      </c>
      <c r="D230" s="559">
        <v>1</v>
      </c>
      <c r="E230" s="559" t="s">
        <v>1978</v>
      </c>
      <c r="F230" s="560" t="s">
        <v>525</v>
      </c>
      <c r="G230" s="561" t="s">
        <v>526</v>
      </c>
      <c r="H230" s="559" t="s">
        <v>1975</v>
      </c>
      <c r="I230" s="575">
        <v>7193</v>
      </c>
      <c r="J230" s="563" t="s">
        <v>1975</v>
      </c>
      <c r="K230" s="564" t="s">
        <v>373</v>
      </c>
      <c r="L230" s="565">
        <v>0</v>
      </c>
      <c r="M230" s="565">
        <v>0</v>
      </c>
    </row>
    <row r="231" spans="1:13" s="92" customFormat="1" ht="12.75">
      <c r="A231" s="566"/>
      <c r="B231" s="568" t="s">
        <v>609</v>
      </c>
      <c r="C231" s="568"/>
      <c r="D231" s="568"/>
      <c r="E231" s="568"/>
      <c r="F231" s="569" t="s">
        <v>547</v>
      </c>
      <c r="G231" s="570" t="s">
        <v>529</v>
      </c>
      <c r="H231" s="568"/>
      <c r="I231" s="576"/>
      <c r="J231" s="572"/>
      <c r="K231" s="573"/>
      <c r="L231" s="574"/>
      <c r="M231" s="574"/>
    </row>
    <row r="232" spans="1:13" s="92" customFormat="1" ht="12.75">
      <c r="A232" s="558">
        <v>115</v>
      </c>
      <c r="B232" s="580" t="s">
        <v>598</v>
      </c>
      <c r="C232" s="559" t="s">
        <v>1977</v>
      </c>
      <c r="D232" s="559">
        <v>1</v>
      </c>
      <c r="E232" s="559" t="s">
        <v>1978</v>
      </c>
      <c r="F232" s="560" t="s">
        <v>525</v>
      </c>
      <c r="G232" s="561" t="s">
        <v>526</v>
      </c>
      <c r="H232" s="559" t="s">
        <v>1975</v>
      </c>
      <c r="I232" s="575">
        <v>6439</v>
      </c>
      <c r="J232" s="563" t="s">
        <v>1975</v>
      </c>
      <c r="K232" s="564" t="s">
        <v>373</v>
      </c>
      <c r="L232" s="565">
        <v>0</v>
      </c>
      <c r="M232" s="565">
        <v>0</v>
      </c>
    </row>
    <row r="233" spans="1:13" s="92" customFormat="1" ht="12.75">
      <c r="A233" s="566"/>
      <c r="B233" s="568" t="s">
        <v>610</v>
      </c>
      <c r="C233" s="568"/>
      <c r="D233" s="568"/>
      <c r="E233" s="568"/>
      <c r="F233" s="569" t="s">
        <v>547</v>
      </c>
      <c r="G233" s="570" t="s">
        <v>529</v>
      </c>
      <c r="H233" s="568"/>
      <c r="I233" s="576"/>
      <c r="J233" s="572"/>
      <c r="K233" s="573"/>
      <c r="L233" s="574"/>
      <c r="M233" s="574"/>
    </row>
    <row r="234" spans="1:13" s="92" customFormat="1" ht="12.75">
      <c r="A234" s="558">
        <v>116</v>
      </c>
      <c r="B234" s="580" t="s">
        <v>611</v>
      </c>
      <c r="C234" s="559" t="s">
        <v>2103</v>
      </c>
      <c r="D234" s="559">
        <v>0.5</v>
      </c>
      <c r="E234" s="559" t="s">
        <v>1978</v>
      </c>
      <c r="F234" s="560" t="s">
        <v>525</v>
      </c>
      <c r="G234" s="561" t="s">
        <v>526</v>
      </c>
      <c r="H234" s="559" t="s">
        <v>1975</v>
      </c>
      <c r="I234" s="575">
        <v>9908</v>
      </c>
      <c r="J234" s="563" t="s">
        <v>1975</v>
      </c>
      <c r="K234" s="564" t="s">
        <v>373</v>
      </c>
      <c r="L234" s="565">
        <v>0</v>
      </c>
      <c r="M234" s="565">
        <v>0</v>
      </c>
    </row>
    <row r="235" spans="1:13" s="92" customFormat="1" ht="12.75">
      <c r="A235" s="566"/>
      <c r="B235" s="568" t="s">
        <v>612</v>
      </c>
      <c r="C235" s="568"/>
      <c r="D235" s="568"/>
      <c r="E235" s="568"/>
      <c r="F235" s="569" t="s">
        <v>528</v>
      </c>
      <c r="G235" s="570" t="s">
        <v>529</v>
      </c>
      <c r="H235" s="568"/>
      <c r="I235" s="576"/>
      <c r="J235" s="572"/>
      <c r="K235" s="573"/>
      <c r="L235" s="574"/>
      <c r="M235" s="574"/>
    </row>
    <row r="236" spans="1:13" s="92" customFormat="1" ht="12.75">
      <c r="A236" s="558">
        <v>117</v>
      </c>
      <c r="B236" s="580" t="s">
        <v>611</v>
      </c>
      <c r="C236" s="559" t="s">
        <v>2103</v>
      </c>
      <c r="D236" s="559">
        <v>0.5</v>
      </c>
      <c r="E236" s="559" t="s">
        <v>1978</v>
      </c>
      <c r="F236" s="560" t="s">
        <v>525</v>
      </c>
      <c r="G236" s="561" t="s">
        <v>526</v>
      </c>
      <c r="H236" s="559" t="s">
        <v>1975</v>
      </c>
      <c r="I236" s="575">
        <v>28315</v>
      </c>
      <c r="J236" s="563" t="s">
        <v>1975</v>
      </c>
      <c r="K236" s="564" t="s">
        <v>373</v>
      </c>
      <c r="L236" s="565">
        <v>0</v>
      </c>
      <c r="M236" s="565">
        <v>0</v>
      </c>
    </row>
    <row r="237" spans="1:13" s="92" customFormat="1" ht="12.75">
      <c r="A237" s="566"/>
      <c r="B237" s="568" t="s">
        <v>613</v>
      </c>
      <c r="C237" s="568"/>
      <c r="D237" s="568"/>
      <c r="E237" s="568"/>
      <c r="F237" s="569" t="s">
        <v>528</v>
      </c>
      <c r="G237" s="570" t="s">
        <v>529</v>
      </c>
      <c r="H237" s="568"/>
      <c r="I237" s="576"/>
      <c r="J237" s="572"/>
      <c r="K237" s="573"/>
      <c r="L237" s="574"/>
      <c r="M237" s="574"/>
    </row>
    <row r="238" spans="1:13" s="92" customFormat="1" ht="12.75">
      <c r="A238" s="558">
        <v>118</v>
      </c>
      <c r="B238" s="580" t="s">
        <v>611</v>
      </c>
      <c r="C238" s="559" t="s">
        <v>1977</v>
      </c>
      <c r="D238" s="559">
        <v>1</v>
      </c>
      <c r="E238" s="559" t="s">
        <v>1978</v>
      </c>
      <c r="F238" s="560" t="s">
        <v>525</v>
      </c>
      <c r="G238" s="561" t="s">
        <v>526</v>
      </c>
      <c r="H238" s="559" t="s">
        <v>1975</v>
      </c>
      <c r="I238" s="575">
        <v>455</v>
      </c>
      <c r="J238" s="563" t="s">
        <v>1975</v>
      </c>
      <c r="K238" s="564" t="s">
        <v>373</v>
      </c>
      <c r="L238" s="565">
        <v>0</v>
      </c>
      <c r="M238" s="565">
        <v>0</v>
      </c>
    </row>
    <row r="239" spans="1:13" s="92" customFormat="1" ht="12.75">
      <c r="A239" s="566"/>
      <c r="B239" s="568" t="s">
        <v>614</v>
      </c>
      <c r="C239" s="568"/>
      <c r="D239" s="568"/>
      <c r="E239" s="568"/>
      <c r="F239" s="569" t="s">
        <v>547</v>
      </c>
      <c r="G239" s="570" t="s">
        <v>529</v>
      </c>
      <c r="H239" s="568"/>
      <c r="I239" s="576"/>
      <c r="J239" s="572"/>
      <c r="K239" s="573"/>
      <c r="L239" s="574"/>
      <c r="M239" s="574"/>
    </row>
    <row r="240" spans="1:13" s="92" customFormat="1" ht="12.75">
      <c r="A240" s="558">
        <v>119</v>
      </c>
      <c r="B240" s="580" t="s">
        <v>611</v>
      </c>
      <c r="C240" s="559" t="s">
        <v>1977</v>
      </c>
      <c r="D240" s="559">
        <v>1</v>
      </c>
      <c r="E240" s="559" t="s">
        <v>1978</v>
      </c>
      <c r="F240" s="560" t="s">
        <v>525</v>
      </c>
      <c r="G240" s="561" t="s">
        <v>526</v>
      </c>
      <c r="H240" s="559" t="s">
        <v>1975</v>
      </c>
      <c r="I240" s="575">
        <v>945</v>
      </c>
      <c r="J240" s="563" t="s">
        <v>1975</v>
      </c>
      <c r="K240" s="564" t="s">
        <v>373</v>
      </c>
      <c r="L240" s="565">
        <v>0</v>
      </c>
      <c r="M240" s="565">
        <v>0</v>
      </c>
    </row>
    <row r="241" spans="1:13" s="92" customFormat="1" ht="12.75">
      <c r="A241" s="566"/>
      <c r="B241" s="568" t="s">
        <v>615</v>
      </c>
      <c r="C241" s="568"/>
      <c r="D241" s="568"/>
      <c r="E241" s="568"/>
      <c r="F241" s="569" t="s">
        <v>547</v>
      </c>
      <c r="G241" s="570" t="s">
        <v>529</v>
      </c>
      <c r="H241" s="568"/>
      <c r="I241" s="576"/>
      <c r="J241" s="572"/>
      <c r="K241" s="573"/>
      <c r="L241" s="574"/>
      <c r="M241" s="574"/>
    </row>
    <row r="242" spans="1:13" s="92" customFormat="1" ht="12.75">
      <c r="A242" s="558">
        <v>120</v>
      </c>
      <c r="B242" s="580" t="s">
        <v>611</v>
      </c>
      <c r="C242" s="559" t="s">
        <v>1977</v>
      </c>
      <c r="D242" s="559">
        <v>1</v>
      </c>
      <c r="E242" s="559" t="s">
        <v>1978</v>
      </c>
      <c r="F242" s="560" t="s">
        <v>525</v>
      </c>
      <c r="G242" s="561" t="s">
        <v>526</v>
      </c>
      <c r="H242" s="559" t="s">
        <v>1975</v>
      </c>
      <c r="I242" s="575">
        <v>1281</v>
      </c>
      <c r="J242" s="563" t="s">
        <v>1975</v>
      </c>
      <c r="K242" s="564" t="s">
        <v>373</v>
      </c>
      <c r="L242" s="565">
        <v>0</v>
      </c>
      <c r="M242" s="565">
        <v>0</v>
      </c>
    </row>
    <row r="243" spans="1:13" s="92" customFormat="1" ht="12.75">
      <c r="A243" s="584"/>
      <c r="B243" s="568" t="s">
        <v>616</v>
      </c>
      <c r="C243" s="568"/>
      <c r="D243" s="568"/>
      <c r="E243" s="568"/>
      <c r="F243" s="569" t="s">
        <v>547</v>
      </c>
      <c r="G243" s="570" t="s">
        <v>529</v>
      </c>
      <c r="H243" s="568"/>
      <c r="I243" s="576"/>
      <c r="J243" s="572"/>
      <c r="K243" s="573"/>
      <c r="L243" s="574"/>
      <c r="M243" s="574"/>
    </row>
    <row r="244" spans="1:13" s="92" customFormat="1" ht="12.75">
      <c r="A244" s="558">
        <v>121</v>
      </c>
      <c r="B244" s="580" t="s">
        <v>617</v>
      </c>
      <c r="C244" s="559" t="s">
        <v>2103</v>
      </c>
      <c r="D244" s="559">
        <v>0.5</v>
      </c>
      <c r="E244" s="559" t="s">
        <v>1978</v>
      </c>
      <c r="F244" s="560" t="s">
        <v>525</v>
      </c>
      <c r="G244" s="561" t="s">
        <v>526</v>
      </c>
      <c r="H244" s="559" t="s">
        <v>1975</v>
      </c>
      <c r="I244" s="575">
        <v>126358</v>
      </c>
      <c r="J244" s="563" t="s">
        <v>1975</v>
      </c>
      <c r="K244" s="564" t="s">
        <v>423</v>
      </c>
      <c r="L244" s="565">
        <v>0</v>
      </c>
      <c r="M244" s="565">
        <v>0</v>
      </c>
    </row>
    <row r="245" spans="1:13" s="92" customFormat="1" ht="12.75">
      <c r="A245" s="566"/>
      <c r="B245" s="568" t="s">
        <v>618</v>
      </c>
      <c r="C245" s="568"/>
      <c r="D245" s="568"/>
      <c r="E245" s="568"/>
      <c r="F245" s="569" t="s">
        <v>528</v>
      </c>
      <c r="G245" s="570" t="s">
        <v>529</v>
      </c>
      <c r="H245" s="568"/>
      <c r="I245" s="576">
        <v>1247</v>
      </c>
      <c r="J245" s="572"/>
      <c r="K245" s="573"/>
      <c r="L245" s="574"/>
      <c r="M245" s="574"/>
    </row>
    <row r="246" spans="1:13" s="92" customFormat="1" ht="12.75">
      <c r="A246" s="558">
        <v>122</v>
      </c>
      <c r="B246" s="580" t="s">
        <v>617</v>
      </c>
      <c r="C246" s="559" t="s">
        <v>2103</v>
      </c>
      <c r="D246" s="559">
        <v>0.5</v>
      </c>
      <c r="E246" s="559" t="s">
        <v>1978</v>
      </c>
      <c r="F246" s="560" t="s">
        <v>525</v>
      </c>
      <c r="G246" s="561" t="s">
        <v>526</v>
      </c>
      <c r="H246" s="559" t="s">
        <v>1975</v>
      </c>
      <c r="I246" s="575">
        <v>13</v>
      </c>
      <c r="J246" s="563" t="s">
        <v>1975</v>
      </c>
      <c r="K246" s="564" t="s">
        <v>423</v>
      </c>
      <c r="L246" s="565">
        <v>0</v>
      </c>
      <c r="M246" s="565">
        <v>0</v>
      </c>
    </row>
    <row r="247" spans="1:13" s="92" customFormat="1" ht="12.75">
      <c r="A247" s="566"/>
      <c r="B247" s="568" t="s">
        <v>619</v>
      </c>
      <c r="C247" s="568"/>
      <c r="D247" s="568"/>
      <c r="E247" s="568"/>
      <c r="F247" s="569" t="s">
        <v>528</v>
      </c>
      <c r="G247" s="570" t="s">
        <v>529</v>
      </c>
      <c r="H247" s="568"/>
      <c r="I247" s="576">
        <v>193159</v>
      </c>
      <c r="J247" s="572"/>
      <c r="K247" s="573"/>
      <c r="L247" s="574"/>
      <c r="M247" s="574"/>
    </row>
    <row r="248" spans="1:13" s="92" customFormat="1" ht="12.75">
      <c r="A248" s="558">
        <v>123</v>
      </c>
      <c r="B248" s="580" t="s">
        <v>617</v>
      </c>
      <c r="C248" s="559" t="s">
        <v>1777</v>
      </c>
      <c r="D248" s="559">
        <v>1</v>
      </c>
      <c r="E248" s="559" t="s">
        <v>1978</v>
      </c>
      <c r="F248" s="560" t="s">
        <v>525</v>
      </c>
      <c r="G248" s="561" t="s">
        <v>526</v>
      </c>
      <c r="H248" s="559" t="s">
        <v>1975</v>
      </c>
      <c r="I248" s="575">
        <v>12967</v>
      </c>
      <c r="J248" s="563" t="s">
        <v>1975</v>
      </c>
      <c r="K248" s="564" t="s">
        <v>373</v>
      </c>
      <c r="L248" s="565">
        <v>0</v>
      </c>
      <c r="M248" s="565">
        <v>0</v>
      </c>
    </row>
    <row r="249" spans="1:13" s="92" customFormat="1" ht="12.75">
      <c r="A249" s="566"/>
      <c r="B249" s="568" t="s">
        <v>620</v>
      </c>
      <c r="C249" s="568"/>
      <c r="D249" s="568"/>
      <c r="E249" s="568"/>
      <c r="F249" s="569" t="s">
        <v>547</v>
      </c>
      <c r="G249" s="570" t="s">
        <v>529</v>
      </c>
      <c r="H249" s="568"/>
      <c r="I249" s="576">
        <v>0</v>
      </c>
      <c r="J249" s="572"/>
      <c r="K249" s="573"/>
      <c r="L249" s="574"/>
      <c r="M249" s="574"/>
    </row>
    <row r="250" spans="1:13" s="92" customFormat="1" ht="12.75">
      <c r="A250" s="558">
        <v>124</v>
      </c>
      <c r="B250" s="580" t="s">
        <v>617</v>
      </c>
      <c r="C250" s="559" t="s">
        <v>1977</v>
      </c>
      <c r="D250" s="559">
        <v>1</v>
      </c>
      <c r="E250" s="559" t="s">
        <v>1978</v>
      </c>
      <c r="F250" s="560" t="s">
        <v>525</v>
      </c>
      <c r="G250" s="561" t="s">
        <v>526</v>
      </c>
      <c r="H250" s="559" t="s">
        <v>1975</v>
      </c>
      <c r="I250" s="575">
        <v>3226</v>
      </c>
      <c r="J250" s="563" t="s">
        <v>1975</v>
      </c>
      <c r="K250" s="564" t="s">
        <v>373</v>
      </c>
      <c r="L250" s="565">
        <v>0</v>
      </c>
      <c r="M250" s="565">
        <v>0</v>
      </c>
    </row>
    <row r="251" spans="1:13" s="92" customFormat="1" ht="12.75">
      <c r="A251" s="566"/>
      <c r="B251" s="568" t="s">
        <v>621</v>
      </c>
      <c r="C251" s="568"/>
      <c r="D251" s="568"/>
      <c r="E251" s="568"/>
      <c r="F251" s="569" t="s">
        <v>547</v>
      </c>
      <c r="G251" s="570" t="s">
        <v>529</v>
      </c>
      <c r="H251" s="568"/>
      <c r="I251" s="576"/>
      <c r="J251" s="572"/>
      <c r="K251" s="573"/>
      <c r="L251" s="574"/>
      <c r="M251" s="574"/>
    </row>
    <row r="252" spans="1:13" s="92" customFormat="1" ht="12.75">
      <c r="A252" s="558">
        <v>125</v>
      </c>
      <c r="B252" s="580" t="s">
        <v>617</v>
      </c>
      <c r="C252" s="559" t="s">
        <v>1977</v>
      </c>
      <c r="D252" s="559">
        <v>1</v>
      </c>
      <c r="E252" s="559" t="s">
        <v>1978</v>
      </c>
      <c r="F252" s="560" t="s">
        <v>525</v>
      </c>
      <c r="G252" s="561" t="s">
        <v>526</v>
      </c>
      <c r="H252" s="559" t="s">
        <v>1975</v>
      </c>
      <c r="I252" s="575">
        <v>1984</v>
      </c>
      <c r="J252" s="563" t="s">
        <v>1975</v>
      </c>
      <c r="K252" s="564" t="s">
        <v>373</v>
      </c>
      <c r="L252" s="565">
        <v>0</v>
      </c>
      <c r="M252" s="565">
        <v>0</v>
      </c>
    </row>
    <row r="253" spans="1:13" s="92" customFormat="1" ht="12.75">
      <c r="A253" s="566"/>
      <c r="B253" s="568" t="s">
        <v>622</v>
      </c>
      <c r="C253" s="568"/>
      <c r="D253" s="568"/>
      <c r="E253" s="568"/>
      <c r="F253" s="569" t="s">
        <v>547</v>
      </c>
      <c r="G253" s="570" t="s">
        <v>529</v>
      </c>
      <c r="H253" s="568"/>
      <c r="I253" s="576"/>
      <c r="J253" s="572"/>
      <c r="K253" s="573"/>
      <c r="L253" s="574"/>
      <c r="M253" s="574"/>
    </row>
    <row r="254" spans="1:13" s="92" customFormat="1" ht="12.75">
      <c r="A254" s="558">
        <v>126</v>
      </c>
      <c r="B254" s="580" t="s">
        <v>617</v>
      </c>
      <c r="C254" s="559" t="s">
        <v>1977</v>
      </c>
      <c r="D254" s="559">
        <v>1</v>
      </c>
      <c r="E254" s="559" t="s">
        <v>1978</v>
      </c>
      <c r="F254" s="560" t="s">
        <v>525</v>
      </c>
      <c r="G254" s="561" t="s">
        <v>526</v>
      </c>
      <c r="H254" s="559" t="s">
        <v>1975</v>
      </c>
      <c r="I254" s="575">
        <v>1706</v>
      </c>
      <c r="J254" s="563" t="s">
        <v>1975</v>
      </c>
      <c r="K254" s="564" t="s">
        <v>373</v>
      </c>
      <c r="L254" s="565">
        <v>0</v>
      </c>
      <c r="M254" s="565">
        <v>0</v>
      </c>
    </row>
    <row r="255" spans="1:13" s="92" customFormat="1" ht="12.75">
      <c r="A255" s="566"/>
      <c r="B255" s="568" t="s">
        <v>623</v>
      </c>
      <c r="C255" s="568"/>
      <c r="D255" s="568"/>
      <c r="E255" s="568"/>
      <c r="F255" s="569" t="s">
        <v>547</v>
      </c>
      <c r="G255" s="570" t="s">
        <v>529</v>
      </c>
      <c r="H255" s="568"/>
      <c r="I255" s="576"/>
      <c r="J255" s="572"/>
      <c r="K255" s="573"/>
      <c r="L255" s="574"/>
      <c r="M255" s="574"/>
    </row>
    <row r="256" spans="1:13" s="92" customFormat="1" ht="12.75">
      <c r="A256" s="558">
        <v>127</v>
      </c>
      <c r="B256" s="580" t="s">
        <v>617</v>
      </c>
      <c r="C256" s="559" t="s">
        <v>1977</v>
      </c>
      <c r="D256" s="559">
        <v>1</v>
      </c>
      <c r="E256" s="559" t="s">
        <v>1978</v>
      </c>
      <c r="F256" s="560" t="s">
        <v>525</v>
      </c>
      <c r="G256" s="561" t="s">
        <v>526</v>
      </c>
      <c r="H256" s="559" t="s">
        <v>1975</v>
      </c>
      <c r="I256" s="575">
        <v>4658</v>
      </c>
      <c r="J256" s="563" t="s">
        <v>1975</v>
      </c>
      <c r="K256" s="564" t="s">
        <v>373</v>
      </c>
      <c r="L256" s="565">
        <v>0</v>
      </c>
      <c r="M256" s="565">
        <v>0</v>
      </c>
    </row>
    <row r="257" spans="1:13" s="92" customFormat="1" ht="12.75">
      <c r="A257" s="566"/>
      <c r="B257" s="568" t="s">
        <v>624</v>
      </c>
      <c r="C257" s="568"/>
      <c r="D257" s="568"/>
      <c r="E257" s="568"/>
      <c r="F257" s="569" t="s">
        <v>547</v>
      </c>
      <c r="G257" s="570" t="s">
        <v>529</v>
      </c>
      <c r="H257" s="568"/>
      <c r="I257" s="576"/>
      <c r="J257" s="572"/>
      <c r="K257" s="573"/>
      <c r="L257" s="574"/>
      <c r="M257" s="574"/>
    </row>
    <row r="258" spans="1:13" s="92" customFormat="1" ht="12.75">
      <c r="A258" s="558">
        <v>128</v>
      </c>
      <c r="B258" s="580" t="s">
        <v>617</v>
      </c>
      <c r="C258" s="559" t="s">
        <v>1977</v>
      </c>
      <c r="D258" s="559">
        <v>1</v>
      </c>
      <c r="E258" s="559" t="s">
        <v>1978</v>
      </c>
      <c r="F258" s="560" t="s">
        <v>525</v>
      </c>
      <c r="G258" s="561" t="s">
        <v>526</v>
      </c>
      <c r="H258" s="559" t="s">
        <v>1975</v>
      </c>
      <c r="I258" s="575">
        <v>1060</v>
      </c>
      <c r="J258" s="563" t="s">
        <v>1975</v>
      </c>
      <c r="K258" s="564" t="s">
        <v>373</v>
      </c>
      <c r="L258" s="565">
        <v>0</v>
      </c>
      <c r="M258" s="565">
        <v>0</v>
      </c>
    </row>
    <row r="259" spans="1:13" s="92" customFormat="1" ht="12.75">
      <c r="A259" s="566"/>
      <c r="B259" s="568" t="s">
        <v>625</v>
      </c>
      <c r="C259" s="568"/>
      <c r="D259" s="568"/>
      <c r="E259" s="568"/>
      <c r="F259" s="569" t="s">
        <v>547</v>
      </c>
      <c r="G259" s="570" t="s">
        <v>529</v>
      </c>
      <c r="H259" s="568"/>
      <c r="I259" s="576"/>
      <c r="J259" s="572"/>
      <c r="K259" s="573"/>
      <c r="L259" s="574"/>
      <c r="M259" s="574"/>
    </row>
    <row r="260" spans="1:13" s="92" customFormat="1" ht="12.75">
      <c r="A260" s="558">
        <v>129</v>
      </c>
      <c r="B260" s="580" t="s">
        <v>626</v>
      </c>
      <c r="C260" s="559" t="s">
        <v>1977</v>
      </c>
      <c r="D260" s="559">
        <v>1</v>
      </c>
      <c r="E260" s="559" t="s">
        <v>1978</v>
      </c>
      <c r="F260" s="560" t="s">
        <v>525</v>
      </c>
      <c r="G260" s="561" t="s">
        <v>526</v>
      </c>
      <c r="H260" s="559" t="s">
        <v>1975</v>
      </c>
      <c r="I260" s="575">
        <v>286</v>
      </c>
      <c r="J260" s="563" t="s">
        <v>1975</v>
      </c>
      <c r="K260" s="564" t="s">
        <v>373</v>
      </c>
      <c r="L260" s="565">
        <v>0</v>
      </c>
      <c r="M260" s="565">
        <v>0</v>
      </c>
    </row>
    <row r="261" spans="1:13" s="92" customFormat="1" ht="12.75">
      <c r="A261" s="566"/>
      <c r="B261" s="568" t="s">
        <v>627</v>
      </c>
      <c r="C261" s="568"/>
      <c r="D261" s="568"/>
      <c r="E261" s="568"/>
      <c r="F261" s="569" t="s">
        <v>547</v>
      </c>
      <c r="G261" s="570" t="s">
        <v>529</v>
      </c>
      <c r="H261" s="568"/>
      <c r="I261" s="576">
        <v>0</v>
      </c>
      <c r="J261" s="572"/>
      <c r="K261" s="573"/>
      <c r="L261" s="574"/>
      <c r="M261" s="574"/>
    </row>
    <row r="262" spans="1:13" s="92" customFormat="1" ht="12.75">
      <c r="A262" s="558">
        <v>130</v>
      </c>
      <c r="B262" s="580" t="s">
        <v>628</v>
      </c>
      <c r="C262" s="559" t="s">
        <v>2103</v>
      </c>
      <c r="D262" s="559">
        <v>0.5</v>
      </c>
      <c r="E262" s="559" t="s">
        <v>1978</v>
      </c>
      <c r="F262" s="560" t="s">
        <v>525</v>
      </c>
      <c r="G262" s="561" t="s">
        <v>526</v>
      </c>
      <c r="H262" s="559" t="s">
        <v>1975</v>
      </c>
      <c r="I262" s="575">
        <v>9772</v>
      </c>
      <c r="J262" s="563" t="s">
        <v>1975</v>
      </c>
      <c r="K262" s="564" t="s">
        <v>423</v>
      </c>
      <c r="L262" s="565">
        <v>0</v>
      </c>
      <c r="M262" s="565">
        <v>0</v>
      </c>
    </row>
    <row r="263" spans="1:13" s="92" customFormat="1" ht="12.75">
      <c r="A263" s="566"/>
      <c r="B263" s="568" t="s">
        <v>612</v>
      </c>
      <c r="C263" s="568"/>
      <c r="D263" s="568"/>
      <c r="E263" s="568"/>
      <c r="F263" s="569" t="s">
        <v>528</v>
      </c>
      <c r="G263" s="570" t="s">
        <v>529</v>
      </c>
      <c r="H263" s="568"/>
      <c r="I263" s="576">
        <v>0</v>
      </c>
      <c r="J263" s="572"/>
      <c r="K263" s="573"/>
      <c r="L263" s="574"/>
      <c r="M263" s="574"/>
    </row>
    <row r="264" spans="1:13" s="92" customFormat="1" ht="12.75">
      <c r="A264" s="558">
        <v>131</v>
      </c>
      <c r="B264" s="580" t="s">
        <v>628</v>
      </c>
      <c r="C264" s="559" t="s">
        <v>2103</v>
      </c>
      <c r="D264" s="559">
        <v>0.5</v>
      </c>
      <c r="E264" s="559" t="s">
        <v>1978</v>
      </c>
      <c r="F264" s="560" t="s">
        <v>525</v>
      </c>
      <c r="G264" s="561" t="s">
        <v>526</v>
      </c>
      <c r="H264" s="559" t="s">
        <v>1975</v>
      </c>
      <c r="I264" s="575">
        <v>6233</v>
      </c>
      <c r="J264" s="563" t="s">
        <v>1975</v>
      </c>
      <c r="K264" s="564" t="s">
        <v>423</v>
      </c>
      <c r="L264" s="565">
        <v>0</v>
      </c>
      <c r="M264" s="565">
        <v>0</v>
      </c>
    </row>
    <row r="265" spans="1:13" s="92" customFormat="1" ht="12.75">
      <c r="A265" s="566"/>
      <c r="B265" s="568" t="s">
        <v>613</v>
      </c>
      <c r="C265" s="568"/>
      <c r="D265" s="568"/>
      <c r="E265" s="568"/>
      <c r="F265" s="569" t="s">
        <v>528</v>
      </c>
      <c r="G265" s="570" t="s">
        <v>529</v>
      </c>
      <c r="H265" s="568"/>
      <c r="I265" s="576">
        <v>0</v>
      </c>
      <c r="J265" s="572"/>
      <c r="K265" s="573"/>
      <c r="L265" s="574"/>
      <c r="M265" s="574"/>
    </row>
    <row r="266" spans="1:13" s="92" customFormat="1" ht="12.75">
      <c r="A266" s="558">
        <v>132</v>
      </c>
      <c r="B266" s="580" t="s">
        <v>628</v>
      </c>
      <c r="C266" s="559" t="s">
        <v>1977</v>
      </c>
      <c r="D266" s="559">
        <v>1</v>
      </c>
      <c r="E266" s="559" t="s">
        <v>1978</v>
      </c>
      <c r="F266" s="560" t="s">
        <v>525</v>
      </c>
      <c r="G266" s="561" t="s">
        <v>526</v>
      </c>
      <c r="H266" s="559" t="s">
        <v>1975</v>
      </c>
      <c r="I266" s="575">
        <v>0</v>
      </c>
      <c r="J266" s="563" t="s">
        <v>1975</v>
      </c>
      <c r="K266" s="564" t="s">
        <v>373</v>
      </c>
      <c r="L266" s="565">
        <v>0</v>
      </c>
      <c r="M266" s="565">
        <v>0</v>
      </c>
    </row>
    <row r="267" spans="1:13" s="92" customFormat="1" ht="12.75">
      <c r="A267" s="566"/>
      <c r="B267" s="568" t="s">
        <v>629</v>
      </c>
      <c r="C267" s="568"/>
      <c r="D267" s="568"/>
      <c r="E267" s="568"/>
      <c r="F267" s="569" t="s">
        <v>547</v>
      </c>
      <c r="G267" s="570" t="s">
        <v>529</v>
      </c>
      <c r="H267" s="568"/>
      <c r="I267" s="576">
        <v>0</v>
      </c>
      <c r="J267" s="572"/>
      <c r="K267" s="573"/>
      <c r="L267" s="574"/>
      <c r="M267" s="574"/>
    </row>
    <row r="268" spans="1:13" s="92" customFormat="1" ht="12.75">
      <c r="A268" s="585">
        <v>133</v>
      </c>
      <c r="B268" s="586" t="s">
        <v>630</v>
      </c>
      <c r="C268" s="559" t="s">
        <v>1977</v>
      </c>
      <c r="D268" s="587">
        <v>1</v>
      </c>
      <c r="E268" s="559" t="s">
        <v>1978</v>
      </c>
      <c r="F268" s="560" t="s">
        <v>511</v>
      </c>
      <c r="G268" s="561" t="s">
        <v>512</v>
      </c>
      <c r="H268" s="559" t="s">
        <v>1975</v>
      </c>
      <c r="I268" s="588">
        <v>85</v>
      </c>
      <c r="J268" s="563" t="s">
        <v>1975</v>
      </c>
      <c r="K268" s="564" t="s">
        <v>423</v>
      </c>
      <c r="L268" s="565">
        <v>0</v>
      </c>
      <c r="M268" s="565">
        <v>0</v>
      </c>
    </row>
    <row r="269" spans="1:13" s="92" customFormat="1" ht="12.75">
      <c r="A269" s="589"/>
      <c r="B269" s="573" t="s">
        <v>631</v>
      </c>
      <c r="C269" s="573"/>
      <c r="D269" s="590"/>
      <c r="E269" s="568"/>
      <c r="F269" s="569" t="s">
        <v>514</v>
      </c>
      <c r="G269" s="570"/>
      <c r="H269" s="573"/>
      <c r="I269" s="591"/>
      <c r="J269" s="572"/>
      <c r="K269" s="573"/>
      <c r="L269" s="574"/>
      <c r="M269" s="574"/>
    </row>
    <row r="270" spans="1:13" s="92" customFormat="1" ht="12.75">
      <c r="A270" s="585">
        <v>134</v>
      </c>
      <c r="B270" s="586" t="s">
        <v>630</v>
      </c>
      <c r="C270" s="559" t="s">
        <v>1977</v>
      </c>
      <c r="D270" s="559">
        <v>1</v>
      </c>
      <c r="E270" s="559" t="s">
        <v>1978</v>
      </c>
      <c r="F270" s="560" t="s">
        <v>511</v>
      </c>
      <c r="G270" s="561" t="s">
        <v>512</v>
      </c>
      <c r="H270" s="559" t="s">
        <v>1975</v>
      </c>
      <c r="I270" s="588">
        <v>1551</v>
      </c>
      <c r="J270" s="563" t="s">
        <v>1975</v>
      </c>
      <c r="K270" s="564" t="s">
        <v>373</v>
      </c>
      <c r="L270" s="565">
        <v>0</v>
      </c>
      <c r="M270" s="565">
        <v>0</v>
      </c>
    </row>
    <row r="271" spans="1:13" s="92" customFormat="1" ht="12.75">
      <c r="A271" s="589"/>
      <c r="B271" s="573" t="s">
        <v>632</v>
      </c>
      <c r="C271" s="573"/>
      <c r="D271" s="573"/>
      <c r="E271" s="568"/>
      <c r="F271" s="569" t="s">
        <v>514</v>
      </c>
      <c r="G271" s="570"/>
      <c r="H271" s="573"/>
      <c r="I271" s="591">
        <v>0</v>
      </c>
      <c r="J271" s="572"/>
      <c r="K271" s="573"/>
      <c r="L271" s="574"/>
      <c r="M271" s="574"/>
    </row>
    <row r="272" spans="1:13" s="92" customFormat="1" ht="12.75">
      <c r="A272" s="585">
        <v>135</v>
      </c>
      <c r="B272" s="586" t="s">
        <v>633</v>
      </c>
      <c r="C272" s="559" t="s">
        <v>1977</v>
      </c>
      <c r="D272" s="559">
        <v>1</v>
      </c>
      <c r="E272" s="559" t="s">
        <v>1978</v>
      </c>
      <c r="F272" s="560" t="s">
        <v>525</v>
      </c>
      <c r="G272" s="561" t="s">
        <v>526</v>
      </c>
      <c r="H272" s="559" t="s">
        <v>1975</v>
      </c>
      <c r="I272" s="588">
        <v>105</v>
      </c>
      <c r="J272" s="563" t="s">
        <v>1975</v>
      </c>
      <c r="K272" s="564" t="s">
        <v>373</v>
      </c>
      <c r="L272" s="565">
        <v>0</v>
      </c>
      <c r="M272" s="565">
        <v>0</v>
      </c>
    </row>
    <row r="273" spans="1:13" s="92" customFormat="1" ht="12.75">
      <c r="A273" s="589"/>
      <c r="B273" s="573" t="s">
        <v>634</v>
      </c>
      <c r="C273" s="573"/>
      <c r="D273" s="573"/>
      <c r="E273" s="573"/>
      <c r="F273" s="569" t="s">
        <v>528</v>
      </c>
      <c r="G273" s="570" t="s">
        <v>529</v>
      </c>
      <c r="H273" s="573"/>
      <c r="I273" s="591">
        <v>0</v>
      </c>
      <c r="J273" s="572"/>
      <c r="K273" s="573"/>
      <c r="L273" s="574"/>
      <c r="M273" s="574"/>
    </row>
    <row r="274" spans="1:13" s="92" customFormat="1" ht="12.75">
      <c r="A274" s="585">
        <v>136</v>
      </c>
      <c r="B274" s="586" t="s">
        <v>635</v>
      </c>
      <c r="C274" s="559" t="s">
        <v>1977</v>
      </c>
      <c r="D274" s="559">
        <v>1</v>
      </c>
      <c r="E274" s="559" t="s">
        <v>1978</v>
      </c>
      <c r="F274" s="560" t="s">
        <v>511</v>
      </c>
      <c r="G274" s="561" t="s">
        <v>512</v>
      </c>
      <c r="H274" s="559" t="s">
        <v>1975</v>
      </c>
      <c r="I274" s="588">
        <v>0</v>
      </c>
      <c r="J274" s="563" t="s">
        <v>1975</v>
      </c>
      <c r="K274" s="564" t="s">
        <v>373</v>
      </c>
      <c r="L274" s="565">
        <v>0</v>
      </c>
      <c r="M274" s="565">
        <v>0</v>
      </c>
    </row>
    <row r="275" spans="1:13" s="92" customFormat="1" ht="12.75">
      <c r="A275" s="589"/>
      <c r="B275" s="573" t="s">
        <v>636</v>
      </c>
      <c r="C275" s="573"/>
      <c r="D275" s="573"/>
      <c r="E275" s="568"/>
      <c r="F275" s="569" t="s">
        <v>514</v>
      </c>
      <c r="G275" s="570"/>
      <c r="H275" s="573"/>
      <c r="I275" s="591">
        <v>824</v>
      </c>
      <c r="J275" s="572"/>
      <c r="K275" s="573"/>
      <c r="L275" s="574"/>
      <c r="M275" s="574"/>
    </row>
    <row r="276" spans="1:13" s="92" customFormat="1" ht="12.75">
      <c r="A276" s="585">
        <v>137</v>
      </c>
      <c r="B276" s="586" t="s">
        <v>637</v>
      </c>
      <c r="C276" s="559" t="s">
        <v>1977</v>
      </c>
      <c r="D276" s="559">
        <v>1</v>
      </c>
      <c r="E276" s="559" t="s">
        <v>1978</v>
      </c>
      <c r="F276" s="560" t="s">
        <v>511</v>
      </c>
      <c r="G276" s="561" t="s">
        <v>512</v>
      </c>
      <c r="H276" s="559" t="s">
        <v>1975</v>
      </c>
      <c r="I276" s="588">
        <v>0</v>
      </c>
      <c r="J276" s="563" t="s">
        <v>1975</v>
      </c>
      <c r="K276" s="564" t="s">
        <v>373</v>
      </c>
      <c r="L276" s="565">
        <v>0</v>
      </c>
      <c r="M276" s="565">
        <v>0</v>
      </c>
    </row>
    <row r="277" spans="1:13" s="92" customFormat="1" ht="12.75">
      <c r="A277" s="584"/>
      <c r="B277" s="573" t="s">
        <v>638</v>
      </c>
      <c r="C277" s="573"/>
      <c r="D277" s="573"/>
      <c r="E277" s="568"/>
      <c r="F277" s="569" t="s">
        <v>514</v>
      </c>
      <c r="G277" s="570"/>
      <c r="H277" s="573"/>
      <c r="I277" s="591">
        <v>307</v>
      </c>
      <c r="J277" s="572"/>
      <c r="K277" s="573"/>
      <c r="L277" s="574"/>
      <c r="M277" s="574"/>
    </row>
    <row r="278" spans="1:13" s="92" customFormat="1" ht="12.75">
      <c r="A278" s="592">
        <v>138</v>
      </c>
      <c r="B278" s="586" t="s">
        <v>639</v>
      </c>
      <c r="C278" s="559" t="s">
        <v>1977</v>
      </c>
      <c r="D278" s="559">
        <v>1</v>
      </c>
      <c r="E278" s="559" t="s">
        <v>1978</v>
      </c>
      <c r="F278" s="560" t="s">
        <v>511</v>
      </c>
      <c r="G278" s="561" t="s">
        <v>512</v>
      </c>
      <c r="H278" s="559" t="s">
        <v>1975</v>
      </c>
      <c r="I278" s="588">
        <v>0</v>
      </c>
      <c r="J278" s="563" t="s">
        <v>1975</v>
      </c>
      <c r="K278" s="564" t="s">
        <v>373</v>
      </c>
      <c r="L278" s="565">
        <v>0</v>
      </c>
      <c r="M278" s="565">
        <v>0</v>
      </c>
    </row>
    <row r="279" spans="1:13" s="92" customFormat="1" ht="12.75">
      <c r="A279" s="592"/>
      <c r="B279" s="573" t="s">
        <v>638</v>
      </c>
      <c r="C279" s="573"/>
      <c r="D279" s="573"/>
      <c r="E279" s="568"/>
      <c r="F279" s="569" t="s">
        <v>514</v>
      </c>
      <c r="G279" s="570"/>
      <c r="H279" s="573"/>
      <c r="I279" s="591">
        <v>92</v>
      </c>
      <c r="J279" s="572"/>
      <c r="K279" s="573"/>
      <c r="L279" s="574"/>
      <c r="M279" s="574"/>
    </row>
    <row r="280" spans="1:13" s="92" customFormat="1" ht="12.75">
      <c r="A280" s="585">
        <v>139</v>
      </c>
      <c r="B280" s="586" t="s">
        <v>640</v>
      </c>
      <c r="C280" s="559" t="s">
        <v>1977</v>
      </c>
      <c r="D280" s="559">
        <v>1</v>
      </c>
      <c r="E280" s="559" t="s">
        <v>1978</v>
      </c>
      <c r="F280" s="560" t="s">
        <v>511</v>
      </c>
      <c r="G280" s="561" t="s">
        <v>512</v>
      </c>
      <c r="H280" s="559" t="s">
        <v>1975</v>
      </c>
      <c r="I280" s="588">
        <v>0</v>
      </c>
      <c r="J280" s="563" t="s">
        <v>1975</v>
      </c>
      <c r="K280" s="564" t="s">
        <v>373</v>
      </c>
      <c r="L280" s="565">
        <v>0</v>
      </c>
      <c r="M280" s="565">
        <v>0</v>
      </c>
    </row>
    <row r="281" spans="1:13" s="92" customFormat="1" ht="12.75">
      <c r="A281" s="589"/>
      <c r="B281" s="573" t="s">
        <v>636</v>
      </c>
      <c r="C281" s="573"/>
      <c r="D281" s="573"/>
      <c r="E281" s="568"/>
      <c r="F281" s="569" t="s">
        <v>514</v>
      </c>
      <c r="G281" s="570"/>
      <c r="H281" s="573"/>
      <c r="I281" s="591">
        <v>184</v>
      </c>
      <c r="J281" s="572"/>
      <c r="K281" s="573"/>
      <c r="L281" s="574"/>
      <c r="M281" s="574"/>
    </row>
    <row r="282" spans="1:13" s="92" customFormat="1" ht="12.75">
      <c r="A282" s="585">
        <v>140</v>
      </c>
      <c r="B282" s="586" t="s">
        <v>641</v>
      </c>
      <c r="C282" s="559" t="s">
        <v>1977</v>
      </c>
      <c r="D282" s="559">
        <v>1</v>
      </c>
      <c r="E282" s="559" t="s">
        <v>1978</v>
      </c>
      <c r="F282" s="560" t="s">
        <v>511</v>
      </c>
      <c r="G282" s="561" t="s">
        <v>512</v>
      </c>
      <c r="H282" s="559" t="s">
        <v>1975</v>
      </c>
      <c r="I282" s="588">
        <v>0</v>
      </c>
      <c r="J282" s="563" t="s">
        <v>1975</v>
      </c>
      <c r="K282" s="564" t="s">
        <v>373</v>
      </c>
      <c r="L282" s="565">
        <v>0</v>
      </c>
      <c r="M282" s="565">
        <v>0</v>
      </c>
    </row>
    <row r="283" spans="1:13" s="92" customFormat="1" ht="12.75">
      <c r="A283" s="589"/>
      <c r="B283" s="573" t="s">
        <v>638</v>
      </c>
      <c r="C283" s="573"/>
      <c r="D283" s="573"/>
      <c r="E283" s="568"/>
      <c r="F283" s="569" t="s">
        <v>514</v>
      </c>
      <c r="G283" s="570"/>
      <c r="H283" s="573"/>
      <c r="I283" s="591">
        <v>205</v>
      </c>
      <c r="J283" s="572"/>
      <c r="K283" s="573"/>
      <c r="L283" s="574"/>
      <c r="M283" s="574"/>
    </row>
    <row r="284" spans="1:13" s="92" customFormat="1" ht="12.75">
      <c r="A284" s="585">
        <v>141</v>
      </c>
      <c r="B284" s="586" t="s">
        <v>642</v>
      </c>
      <c r="C284" s="559" t="s">
        <v>1977</v>
      </c>
      <c r="D284" s="559">
        <v>1</v>
      </c>
      <c r="E284" s="559">
        <v>1</v>
      </c>
      <c r="F284" s="560" t="s">
        <v>422</v>
      </c>
      <c r="G284" s="561" t="s">
        <v>404</v>
      </c>
      <c r="H284" s="559" t="s">
        <v>1975</v>
      </c>
      <c r="I284" s="575">
        <v>2060</v>
      </c>
      <c r="J284" s="563" t="s">
        <v>1975</v>
      </c>
      <c r="K284" s="564" t="s">
        <v>373</v>
      </c>
      <c r="L284" s="565">
        <v>0</v>
      </c>
      <c r="M284" s="565">
        <v>0</v>
      </c>
    </row>
    <row r="285" spans="1:13" s="92" customFormat="1" ht="12.75">
      <c r="A285" s="589"/>
      <c r="B285" s="573" t="s">
        <v>631</v>
      </c>
      <c r="C285" s="573"/>
      <c r="D285" s="573"/>
      <c r="E285" s="590"/>
      <c r="F285" s="569" t="s">
        <v>492</v>
      </c>
      <c r="G285" s="570" t="s">
        <v>425</v>
      </c>
      <c r="H285" s="568"/>
      <c r="I285" s="576"/>
      <c r="J285" s="572"/>
      <c r="K285" s="573"/>
      <c r="L285" s="574"/>
      <c r="M285" s="574"/>
    </row>
    <row r="286" spans="1:13" s="92" customFormat="1" ht="12.75">
      <c r="A286" s="585">
        <v>142</v>
      </c>
      <c r="B286" s="586" t="s">
        <v>642</v>
      </c>
      <c r="C286" s="559" t="s">
        <v>1977</v>
      </c>
      <c r="D286" s="559">
        <v>1</v>
      </c>
      <c r="E286" s="559">
        <v>1</v>
      </c>
      <c r="F286" s="560" t="s">
        <v>422</v>
      </c>
      <c r="G286" s="561" t="s">
        <v>404</v>
      </c>
      <c r="H286" s="559" t="s">
        <v>1975</v>
      </c>
      <c r="I286" s="575">
        <v>2947</v>
      </c>
      <c r="J286" s="563" t="s">
        <v>1975</v>
      </c>
      <c r="K286" s="564" t="s">
        <v>373</v>
      </c>
      <c r="L286" s="565">
        <v>0</v>
      </c>
      <c r="M286" s="565">
        <v>0</v>
      </c>
    </row>
    <row r="287" spans="1:13" s="92" customFormat="1" ht="12.75">
      <c r="A287" s="589"/>
      <c r="B287" s="573" t="s">
        <v>632</v>
      </c>
      <c r="C287" s="573"/>
      <c r="D287" s="573"/>
      <c r="E287" s="590"/>
      <c r="F287" s="569" t="s">
        <v>492</v>
      </c>
      <c r="G287" s="570" t="s">
        <v>425</v>
      </c>
      <c r="H287" s="568"/>
      <c r="I287" s="576"/>
      <c r="J287" s="572"/>
      <c r="K287" s="573"/>
      <c r="L287" s="574"/>
      <c r="M287" s="574"/>
    </row>
    <row r="288" spans="1:13" s="92" customFormat="1" ht="12.75">
      <c r="A288" s="585">
        <v>143</v>
      </c>
      <c r="B288" s="586" t="s">
        <v>643</v>
      </c>
      <c r="C288" s="586" t="s">
        <v>1860</v>
      </c>
      <c r="D288" s="586">
        <v>1</v>
      </c>
      <c r="E288" s="586">
        <v>1</v>
      </c>
      <c r="F288" s="586" t="s">
        <v>644</v>
      </c>
      <c r="G288" s="1551" t="s">
        <v>645</v>
      </c>
      <c r="H288" s="559" t="s">
        <v>1975</v>
      </c>
      <c r="I288" s="588">
        <v>388</v>
      </c>
      <c r="J288" s="563" t="s">
        <v>1975</v>
      </c>
      <c r="K288" s="564" t="s">
        <v>373</v>
      </c>
      <c r="L288" s="565">
        <v>0</v>
      </c>
      <c r="M288" s="565">
        <v>0</v>
      </c>
    </row>
    <row r="289" spans="1:13" s="92" customFormat="1" ht="12.75">
      <c r="A289" s="589"/>
      <c r="B289" s="573" t="s">
        <v>646</v>
      </c>
      <c r="C289" s="573"/>
      <c r="D289" s="573"/>
      <c r="E289" s="573"/>
      <c r="F289" s="573" t="s">
        <v>647</v>
      </c>
      <c r="G289" s="1552"/>
      <c r="H289" s="573"/>
      <c r="I289" s="591">
        <v>0</v>
      </c>
      <c r="J289" s="572"/>
      <c r="K289" s="573"/>
      <c r="L289" s="574"/>
      <c r="M289" s="574"/>
    </row>
    <row r="290" spans="1:13" s="92" customFormat="1" ht="12.75">
      <c r="A290" s="585">
        <v>144</v>
      </c>
      <c r="B290" s="586" t="s">
        <v>648</v>
      </c>
      <c r="C290" s="586" t="s">
        <v>1860</v>
      </c>
      <c r="D290" s="586">
        <v>1</v>
      </c>
      <c r="E290" s="586">
        <v>1</v>
      </c>
      <c r="F290" s="586" t="s">
        <v>644</v>
      </c>
      <c r="G290" s="1551" t="s">
        <v>645</v>
      </c>
      <c r="H290" s="559" t="s">
        <v>1975</v>
      </c>
      <c r="I290" s="588">
        <v>77</v>
      </c>
      <c r="J290" s="563" t="s">
        <v>1975</v>
      </c>
      <c r="K290" s="564" t="s">
        <v>373</v>
      </c>
      <c r="L290" s="565">
        <v>0</v>
      </c>
      <c r="M290" s="565">
        <v>0</v>
      </c>
    </row>
    <row r="291" spans="1:13" s="92" customFormat="1" ht="12.75">
      <c r="A291" s="589"/>
      <c r="B291" s="573" t="s">
        <v>649</v>
      </c>
      <c r="C291" s="573"/>
      <c r="D291" s="573"/>
      <c r="E291" s="573"/>
      <c r="F291" s="573" t="s">
        <v>647</v>
      </c>
      <c r="G291" s="1552"/>
      <c r="H291" s="573"/>
      <c r="I291" s="591">
        <v>0</v>
      </c>
      <c r="J291" s="572"/>
      <c r="K291" s="573"/>
      <c r="L291" s="574"/>
      <c r="M291" s="574"/>
    </row>
    <row r="292" spans="1:13" s="92" customFormat="1" ht="12.75">
      <c r="A292" s="585">
        <v>145</v>
      </c>
      <c r="B292" s="586" t="s">
        <v>650</v>
      </c>
      <c r="C292" s="586" t="s">
        <v>1860</v>
      </c>
      <c r="D292" s="586">
        <v>1</v>
      </c>
      <c r="E292" s="586">
        <v>1</v>
      </c>
      <c r="F292" s="586" t="s">
        <v>644</v>
      </c>
      <c r="G292" s="1551" t="s">
        <v>645</v>
      </c>
      <c r="H292" s="559" t="s">
        <v>1975</v>
      </c>
      <c r="I292" s="588">
        <v>162</v>
      </c>
      <c r="J292" s="563" t="s">
        <v>1975</v>
      </c>
      <c r="K292" s="564" t="s">
        <v>373</v>
      </c>
      <c r="L292" s="565">
        <v>0</v>
      </c>
      <c r="M292" s="565">
        <v>0</v>
      </c>
    </row>
    <row r="293" spans="1:13" s="92" customFormat="1" ht="12.75">
      <c r="A293" s="589"/>
      <c r="B293" s="573" t="s">
        <v>651</v>
      </c>
      <c r="C293" s="573"/>
      <c r="D293" s="573"/>
      <c r="E293" s="573"/>
      <c r="F293" s="573" t="s">
        <v>647</v>
      </c>
      <c r="G293" s="1552"/>
      <c r="H293" s="573"/>
      <c r="I293" s="591">
        <v>0</v>
      </c>
      <c r="J293" s="572"/>
      <c r="K293" s="573"/>
      <c r="L293" s="574"/>
      <c r="M293" s="574"/>
    </row>
    <row r="294" spans="1:13" s="92" customFormat="1" ht="12.75">
      <c r="A294" s="585">
        <v>146</v>
      </c>
      <c r="B294" s="586" t="s">
        <v>652</v>
      </c>
      <c r="C294" s="586" t="s">
        <v>1860</v>
      </c>
      <c r="D294" s="586">
        <v>1</v>
      </c>
      <c r="E294" s="586">
        <v>1</v>
      </c>
      <c r="F294" s="586" t="s">
        <v>644</v>
      </c>
      <c r="G294" s="1551" t="s">
        <v>645</v>
      </c>
      <c r="H294" s="559" t="s">
        <v>1975</v>
      </c>
      <c r="I294" s="588">
        <v>22</v>
      </c>
      <c r="J294" s="563" t="s">
        <v>1975</v>
      </c>
      <c r="K294" s="564" t="s">
        <v>373</v>
      </c>
      <c r="L294" s="565">
        <v>0</v>
      </c>
      <c r="M294" s="565">
        <v>0</v>
      </c>
    </row>
    <row r="295" spans="1:13" s="92" customFormat="1" ht="12.75">
      <c r="A295" s="589"/>
      <c r="B295" s="573" t="s">
        <v>686</v>
      </c>
      <c r="C295" s="573"/>
      <c r="D295" s="573"/>
      <c r="E295" s="573"/>
      <c r="F295" s="573" t="s">
        <v>647</v>
      </c>
      <c r="G295" s="1552"/>
      <c r="H295" s="573"/>
      <c r="I295" s="591"/>
      <c r="J295" s="572"/>
      <c r="K295" s="573"/>
      <c r="L295" s="574"/>
      <c r="M295" s="574"/>
    </row>
    <row r="296" spans="1:13" s="92" customFormat="1" ht="12.75">
      <c r="A296" s="585">
        <v>147</v>
      </c>
      <c r="B296" s="586" t="s">
        <v>687</v>
      </c>
      <c r="C296" s="586" t="s">
        <v>1860</v>
      </c>
      <c r="D296" s="586">
        <v>1</v>
      </c>
      <c r="E296" s="586">
        <v>1</v>
      </c>
      <c r="F296" s="586" t="s">
        <v>644</v>
      </c>
      <c r="G296" s="1551" t="s">
        <v>645</v>
      </c>
      <c r="H296" s="559" t="s">
        <v>1975</v>
      </c>
      <c r="I296" s="588">
        <v>0</v>
      </c>
      <c r="J296" s="563" t="s">
        <v>1975</v>
      </c>
      <c r="K296" s="564" t="s">
        <v>373</v>
      </c>
      <c r="L296" s="565">
        <v>0</v>
      </c>
      <c r="M296" s="565">
        <v>0</v>
      </c>
    </row>
    <row r="297" spans="1:13" s="92" customFormat="1" ht="12.75">
      <c r="A297" s="589"/>
      <c r="B297" s="573" t="s">
        <v>688</v>
      </c>
      <c r="C297" s="573"/>
      <c r="D297" s="573"/>
      <c r="E297" s="573"/>
      <c r="F297" s="573" t="s">
        <v>647</v>
      </c>
      <c r="G297" s="1552"/>
      <c r="H297" s="573"/>
      <c r="I297" s="591">
        <v>5</v>
      </c>
      <c r="J297" s="572"/>
      <c r="K297" s="573"/>
      <c r="L297" s="574"/>
      <c r="M297" s="574"/>
    </row>
    <row r="298" spans="1:13" s="92" customFormat="1" ht="12.75">
      <c r="A298" s="585">
        <v>148</v>
      </c>
      <c r="B298" s="586" t="s">
        <v>689</v>
      </c>
      <c r="C298" s="586" t="s">
        <v>1860</v>
      </c>
      <c r="D298" s="586">
        <v>1</v>
      </c>
      <c r="E298" s="586">
        <v>1</v>
      </c>
      <c r="F298" s="586" t="s">
        <v>644</v>
      </c>
      <c r="G298" s="1551" t="s">
        <v>645</v>
      </c>
      <c r="H298" s="559" t="s">
        <v>1975</v>
      </c>
      <c r="I298" s="588">
        <v>0</v>
      </c>
      <c r="J298" s="563" t="s">
        <v>1975</v>
      </c>
      <c r="K298" s="564" t="s">
        <v>373</v>
      </c>
      <c r="L298" s="565">
        <v>0</v>
      </c>
      <c r="M298" s="565">
        <v>0</v>
      </c>
    </row>
    <row r="299" spans="1:13" s="92" customFormat="1" ht="12.75">
      <c r="A299" s="584"/>
      <c r="B299" s="573" t="s">
        <v>688</v>
      </c>
      <c r="C299" s="573"/>
      <c r="D299" s="573"/>
      <c r="E299" s="573"/>
      <c r="F299" s="573" t="s">
        <v>647</v>
      </c>
      <c r="G299" s="1552"/>
      <c r="H299" s="573"/>
      <c r="I299" s="591">
        <v>15</v>
      </c>
      <c r="J299" s="572"/>
      <c r="K299" s="573"/>
      <c r="L299" s="574"/>
      <c r="M299" s="574"/>
    </row>
    <row r="300" spans="1:13" s="92" customFormat="1" ht="12.75">
      <c r="A300" s="585">
        <v>149</v>
      </c>
      <c r="B300" s="586" t="s">
        <v>690</v>
      </c>
      <c r="C300" s="586" t="s">
        <v>1860</v>
      </c>
      <c r="D300" s="586">
        <v>1</v>
      </c>
      <c r="E300" s="586">
        <v>1</v>
      </c>
      <c r="F300" s="586" t="s">
        <v>644</v>
      </c>
      <c r="G300" s="1551" t="s">
        <v>645</v>
      </c>
      <c r="H300" s="559" t="s">
        <v>1975</v>
      </c>
      <c r="I300" s="588">
        <v>128</v>
      </c>
      <c r="J300" s="563" t="s">
        <v>1975</v>
      </c>
      <c r="K300" s="564" t="s">
        <v>373</v>
      </c>
      <c r="L300" s="594">
        <v>0</v>
      </c>
      <c r="M300" s="565">
        <v>0</v>
      </c>
    </row>
    <row r="301" spans="1:13" s="92" customFormat="1" ht="12.75">
      <c r="A301" s="589"/>
      <c r="B301" s="573" t="s">
        <v>688</v>
      </c>
      <c r="C301" s="573"/>
      <c r="D301" s="573"/>
      <c r="E301" s="573"/>
      <c r="F301" s="573" t="s">
        <v>647</v>
      </c>
      <c r="G301" s="1552"/>
      <c r="H301" s="573"/>
      <c r="I301" s="591">
        <v>0</v>
      </c>
      <c r="J301" s="572"/>
      <c r="K301" s="573"/>
      <c r="L301" s="594"/>
      <c r="M301" s="574"/>
    </row>
    <row r="302" spans="1:13" s="92" customFormat="1" ht="12.75">
      <c r="A302" s="585">
        <v>150</v>
      </c>
      <c r="B302" s="586" t="s">
        <v>691</v>
      </c>
      <c r="C302" s="586" t="s">
        <v>1860</v>
      </c>
      <c r="D302" s="586">
        <v>1</v>
      </c>
      <c r="E302" s="586">
        <v>1</v>
      </c>
      <c r="F302" s="586" t="s">
        <v>692</v>
      </c>
      <c r="G302" s="593" t="s">
        <v>420</v>
      </c>
      <c r="H302" s="559" t="s">
        <v>1975</v>
      </c>
      <c r="I302" s="588">
        <v>3</v>
      </c>
      <c r="J302" s="563" t="s">
        <v>1975</v>
      </c>
      <c r="K302" s="564" t="s">
        <v>373</v>
      </c>
      <c r="L302" s="565">
        <v>0</v>
      </c>
      <c r="M302" s="565">
        <v>0</v>
      </c>
    </row>
    <row r="303" spans="1:13" s="92" customFormat="1" ht="12.75">
      <c r="A303" s="589"/>
      <c r="B303" s="573" t="s">
        <v>688</v>
      </c>
      <c r="C303" s="573"/>
      <c r="D303" s="573"/>
      <c r="E303" s="573"/>
      <c r="F303" s="573"/>
      <c r="G303" s="573"/>
      <c r="H303" s="573"/>
      <c r="I303" s="591">
        <v>0</v>
      </c>
      <c r="J303" s="572"/>
      <c r="K303" s="573"/>
      <c r="L303" s="574"/>
      <c r="M303" s="574"/>
    </row>
    <row r="304" spans="1:13" s="92" customFormat="1" ht="12.75">
      <c r="A304" s="585">
        <v>151</v>
      </c>
      <c r="B304" s="586" t="s">
        <v>693</v>
      </c>
      <c r="C304" s="586" t="s">
        <v>1860</v>
      </c>
      <c r="D304" s="586">
        <v>1</v>
      </c>
      <c r="E304" s="586">
        <v>1</v>
      </c>
      <c r="F304" s="586" t="s">
        <v>644</v>
      </c>
      <c r="G304" s="1551" t="s">
        <v>645</v>
      </c>
      <c r="H304" s="559" t="s">
        <v>1975</v>
      </c>
      <c r="I304" s="588">
        <v>34</v>
      </c>
      <c r="J304" s="563" t="s">
        <v>1975</v>
      </c>
      <c r="K304" s="564" t="s">
        <v>373</v>
      </c>
      <c r="L304" s="565">
        <v>0</v>
      </c>
      <c r="M304" s="565">
        <v>0</v>
      </c>
    </row>
    <row r="305" spans="1:13" s="92" customFormat="1" ht="12.75">
      <c r="A305" s="589"/>
      <c r="B305" s="573" t="s">
        <v>688</v>
      </c>
      <c r="C305" s="573"/>
      <c r="D305" s="573"/>
      <c r="E305" s="573"/>
      <c r="F305" s="573" t="s">
        <v>647</v>
      </c>
      <c r="G305" s="1552"/>
      <c r="H305" s="573"/>
      <c r="I305" s="591">
        <v>0</v>
      </c>
      <c r="J305" s="572"/>
      <c r="K305" s="573"/>
      <c r="L305" s="574"/>
      <c r="M305" s="574"/>
    </row>
    <row r="306" spans="1:13" s="92" customFormat="1" ht="12.75">
      <c r="A306" s="585">
        <v>152</v>
      </c>
      <c r="B306" s="586" t="s">
        <v>694</v>
      </c>
      <c r="C306" s="586" t="s">
        <v>1860</v>
      </c>
      <c r="D306" s="586">
        <v>1</v>
      </c>
      <c r="E306" s="586">
        <v>1</v>
      </c>
      <c r="F306" s="586" t="s">
        <v>644</v>
      </c>
      <c r="G306" s="1551" t="s">
        <v>645</v>
      </c>
      <c r="H306" s="559" t="s">
        <v>1975</v>
      </c>
      <c r="I306" s="588">
        <v>88</v>
      </c>
      <c r="J306" s="563" t="s">
        <v>1975</v>
      </c>
      <c r="K306" s="564" t="s">
        <v>373</v>
      </c>
      <c r="L306" s="565">
        <v>0</v>
      </c>
      <c r="M306" s="565">
        <v>0</v>
      </c>
    </row>
    <row r="307" spans="1:13" s="92" customFormat="1" ht="12.75">
      <c r="A307" s="589"/>
      <c r="B307" s="573" t="s">
        <v>688</v>
      </c>
      <c r="C307" s="573"/>
      <c r="D307" s="573"/>
      <c r="E307" s="573"/>
      <c r="F307" s="573" t="s">
        <v>647</v>
      </c>
      <c r="G307" s="1552"/>
      <c r="H307" s="573"/>
      <c r="I307" s="591">
        <v>0</v>
      </c>
      <c r="J307" s="572"/>
      <c r="K307" s="573"/>
      <c r="L307" s="574"/>
      <c r="M307" s="574"/>
    </row>
    <row r="308" spans="1:13" s="92" customFormat="1" ht="12.75">
      <c r="A308" s="585">
        <v>153</v>
      </c>
      <c r="B308" s="586" t="s">
        <v>695</v>
      </c>
      <c r="C308" s="586" t="s">
        <v>1860</v>
      </c>
      <c r="D308" s="586">
        <v>1</v>
      </c>
      <c r="E308" s="586">
        <v>1</v>
      </c>
      <c r="F308" s="586" t="s">
        <v>692</v>
      </c>
      <c r="G308" s="593" t="s">
        <v>420</v>
      </c>
      <c r="H308" s="559" t="s">
        <v>1975</v>
      </c>
      <c r="I308" s="588">
        <v>9</v>
      </c>
      <c r="J308" s="563" t="s">
        <v>1975</v>
      </c>
      <c r="K308" s="564" t="s">
        <v>373</v>
      </c>
      <c r="L308" s="565">
        <v>0</v>
      </c>
      <c r="M308" s="565">
        <v>0</v>
      </c>
    </row>
    <row r="309" spans="1:13" s="92" customFormat="1" ht="12.75">
      <c r="A309" s="589"/>
      <c r="B309" s="573" t="s">
        <v>688</v>
      </c>
      <c r="C309" s="573"/>
      <c r="D309" s="573"/>
      <c r="E309" s="573"/>
      <c r="F309" s="573"/>
      <c r="G309" s="573"/>
      <c r="H309" s="573"/>
      <c r="I309" s="591">
        <v>0</v>
      </c>
      <c r="J309" s="572"/>
      <c r="K309" s="573"/>
      <c r="L309" s="574"/>
      <c r="M309" s="574"/>
    </row>
    <row r="310" spans="1:13" s="92" customFormat="1" ht="12.75">
      <c r="A310" s="585">
        <v>154</v>
      </c>
      <c r="B310" s="586" t="s">
        <v>696</v>
      </c>
      <c r="C310" s="559" t="s">
        <v>1977</v>
      </c>
      <c r="D310" s="559">
        <v>1</v>
      </c>
      <c r="E310" s="559" t="s">
        <v>1978</v>
      </c>
      <c r="F310" s="560" t="s">
        <v>511</v>
      </c>
      <c r="G310" s="561" t="s">
        <v>512</v>
      </c>
      <c r="H310" s="559" t="s">
        <v>1975</v>
      </c>
      <c r="I310" s="575">
        <v>455</v>
      </c>
      <c r="J310" s="563" t="s">
        <v>1975</v>
      </c>
      <c r="K310" s="564" t="s">
        <v>373</v>
      </c>
      <c r="L310" s="565">
        <v>0</v>
      </c>
      <c r="M310" s="565">
        <v>0</v>
      </c>
    </row>
    <row r="311" spans="1:13" s="92" customFormat="1" ht="12.75">
      <c r="A311" s="589"/>
      <c r="B311" s="573" t="s">
        <v>697</v>
      </c>
      <c r="C311" s="568"/>
      <c r="D311" s="568"/>
      <c r="E311" s="568"/>
      <c r="F311" s="569" t="s">
        <v>514</v>
      </c>
      <c r="G311" s="570"/>
      <c r="H311" s="573"/>
      <c r="I311" s="576">
        <v>0</v>
      </c>
      <c r="J311" s="572"/>
      <c r="K311" s="573"/>
      <c r="L311" s="574"/>
      <c r="M311" s="574"/>
    </row>
    <row r="312" spans="1:13" s="92" customFormat="1" ht="12.75">
      <c r="A312" s="585">
        <v>155</v>
      </c>
      <c r="B312" s="586" t="s">
        <v>698</v>
      </c>
      <c r="C312" s="586" t="s">
        <v>1860</v>
      </c>
      <c r="D312" s="586">
        <v>1</v>
      </c>
      <c r="E312" s="559" t="s">
        <v>1978</v>
      </c>
      <c r="F312" s="586" t="s">
        <v>699</v>
      </c>
      <c r="G312" s="1551" t="s">
        <v>645</v>
      </c>
      <c r="H312" s="559" t="s">
        <v>1975</v>
      </c>
      <c r="I312" s="588">
        <v>22</v>
      </c>
      <c r="J312" s="563" t="s">
        <v>1975</v>
      </c>
      <c r="K312" s="564" t="s">
        <v>373</v>
      </c>
      <c r="L312" s="565">
        <v>0</v>
      </c>
      <c r="M312" s="565">
        <v>0</v>
      </c>
    </row>
    <row r="313" spans="1:13" s="92" customFormat="1" ht="12.75">
      <c r="A313" s="589"/>
      <c r="B313" s="573" t="s">
        <v>688</v>
      </c>
      <c r="C313" s="573"/>
      <c r="D313" s="573"/>
      <c r="E313" s="573"/>
      <c r="F313" s="573" t="s">
        <v>700</v>
      </c>
      <c r="G313" s="1552"/>
      <c r="H313" s="573"/>
      <c r="I313" s="591">
        <v>0</v>
      </c>
      <c r="J313" s="572"/>
      <c r="K313" s="573"/>
      <c r="L313" s="574"/>
      <c r="M313" s="574"/>
    </row>
    <row r="314" spans="1:13" s="92" customFormat="1" ht="12.75">
      <c r="A314" s="585">
        <v>156</v>
      </c>
      <c r="B314" s="586" t="s">
        <v>701</v>
      </c>
      <c r="C314" s="586" t="s">
        <v>1860</v>
      </c>
      <c r="D314" s="586">
        <v>1</v>
      </c>
      <c r="E314" s="559" t="s">
        <v>1978</v>
      </c>
      <c r="F314" s="586" t="s">
        <v>699</v>
      </c>
      <c r="G314" s="1551" t="s">
        <v>645</v>
      </c>
      <c r="H314" s="559" t="s">
        <v>1975</v>
      </c>
      <c r="I314" s="588">
        <v>161</v>
      </c>
      <c r="J314" s="563" t="s">
        <v>1975</v>
      </c>
      <c r="K314" s="564" t="s">
        <v>373</v>
      </c>
      <c r="L314" s="565">
        <v>0</v>
      </c>
      <c r="M314" s="565">
        <v>0</v>
      </c>
    </row>
    <row r="315" spans="1:13" s="92" customFormat="1" ht="12.75">
      <c r="A315" s="589"/>
      <c r="B315" s="573" t="s">
        <v>688</v>
      </c>
      <c r="C315" s="573"/>
      <c r="D315" s="573"/>
      <c r="E315" s="573"/>
      <c r="F315" s="573" t="s">
        <v>700</v>
      </c>
      <c r="G315" s="1552"/>
      <c r="H315" s="573"/>
      <c r="I315" s="591">
        <v>0</v>
      </c>
      <c r="J315" s="572"/>
      <c r="K315" s="573"/>
      <c r="L315" s="574"/>
      <c r="M315" s="574"/>
    </row>
    <row r="316" spans="1:13" s="92" customFormat="1" ht="12.75">
      <c r="A316" s="585">
        <v>157</v>
      </c>
      <c r="B316" s="586" t="s">
        <v>702</v>
      </c>
      <c r="C316" s="559" t="s">
        <v>1977</v>
      </c>
      <c r="D316" s="559">
        <v>1</v>
      </c>
      <c r="E316" s="559" t="s">
        <v>1978</v>
      </c>
      <c r="F316" s="560" t="s">
        <v>525</v>
      </c>
      <c r="G316" s="561" t="s">
        <v>703</v>
      </c>
      <c r="H316" s="559" t="s">
        <v>1975</v>
      </c>
      <c r="I316" s="575">
        <v>36</v>
      </c>
      <c r="J316" s="563" t="s">
        <v>1975</v>
      </c>
      <c r="K316" s="564" t="s">
        <v>373</v>
      </c>
      <c r="L316" s="565">
        <v>0</v>
      </c>
      <c r="M316" s="565">
        <v>0</v>
      </c>
    </row>
    <row r="317" spans="1:13" s="92" customFormat="1" ht="12.75">
      <c r="A317" s="589"/>
      <c r="B317" s="573" t="s">
        <v>704</v>
      </c>
      <c r="C317" s="568"/>
      <c r="D317" s="568"/>
      <c r="E317" s="568"/>
      <c r="F317" s="569" t="s">
        <v>705</v>
      </c>
      <c r="G317" s="570" t="s">
        <v>529</v>
      </c>
      <c r="H317" s="568"/>
      <c r="I317" s="576">
        <v>0</v>
      </c>
      <c r="J317" s="572"/>
      <c r="K317" s="573"/>
      <c r="L317" s="574"/>
      <c r="M317" s="574"/>
    </row>
    <row r="318" spans="1:13" s="92" customFormat="1" ht="12.75">
      <c r="A318" s="585">
        <v>158</v>
      </c>
      <c r="B318" s="586" t="s">
        <v>706</v>
      </c>
      <c r="C318" s="559" t="s">
        <v>1977</v>
      </c>
      <c r="D318" s="559">
        <v>1</v>
      </c>
      <c r="E318" s="559" t="s">
        <v>1978</v>
      </c>
      <c r="F318" s="586" t="s">
        <v>699</v>
      </c>
      <c r="G318" s="1551" t="s">
        <v>645</v>
      </c>
      <c r="H318" s="559" t="s">
        <v>1975</v>
      </c>
      <c r="I318" s="575">
        <v>51</v>
      </c>
      <c r="J318" s="563" t="s">
        <v>1975</v>
      </c>
      <c r="K318" s="564" t="s">
        <v>373</v>
      </c>
      <c r="L318" s="565">
        <v>0</v>
      </c>
      <c r="M318" s="565">
        <v>0</v>
      </c>
    </row>
    <row r="319" spans="1:13" s="92" customFormat="1" ht="12.75">
      <c r="A319" s="589"/>
      <c r="B319" s="573" t="s">
        <v>634</v>
      </c>
      <c r="C319" s="568"/>
      <c r="D319" s="568"/>
      <c r="E319" s="568"/>
      <c r="F319" s="573" t="s">
        <v>707</v>
      </c>
      <c r="G319" s="1552"/>
      <c r="H319" s="568"/>
      <c r="I319" s="576">
        <v>0</v>
      </c>
      <c r="J319" s="572"/>
      <c r="K319" s="573"/>
      <c r="L319" s="574"/>
      <c r="M319" s="574"/>
    </row>
    <row r="320" spans="1:13" s="92" customFormat="1" ht="12.75">
      <c r="A320" s="585">
        <v>159</v>
      </c>
      <c r="B320" s="586" t="s">
        <v>708</v>
      </c>
      <c r="C320" s="559" t="s">
        <v>1977</v>
      </c>
      <c r="D320" s="559">
        <v>1</v>
      </c>
      <c r="E320" s="559" t="s">
        <v>1978</v>
      </c>
      <c r="F320" s="586" t="s">
        <v>699</v>
      </c>
      <c r="G320" s="1551" t="s">
        <v>645</v>
      </c>
      <c r="H320" s="559" t="s">
        <v>1975</v>
      </c>
      <c r="I320" s="575">
        <v>34</v>
      </c>
      <c r="J320" s="563" t="s">
        <v>1975</v>
      </c>
      <c r="K320" s="564" t="s">
        <v>373</v>
      </c>
      <c r="L320" s="565">
        <v>0</v>
      </c>
      <c r="M320" s="565">
        <v>0</v>
      </c>
    </row>
    <row r="321" spans="1:13" s="92" customFormat="1" ht="12.75">
      <c r="A321" s="589"/>
      <c r="B321" s="573" t="s">
        <v>634</v>
      </c>
      <c r="C321" s="568"/>
      <c r="D321" s="568"/>
      <c r="E321" s="568"/>
      <c r="F321" s="573" t="s">
        <v>707</v>
      </c>
      <c r="G321" s="1552"/>
      <c r="H321" s="568"/>
      <c r="I321" s="576">
        <v>34</v>
      </c>
      <c r="J321" s="572"/>
      <c r="K321" s="573"/>
      <c r="L321" s="574"/>
      <c r="M321" s="574"/>
    </row>
    <row r="322" spans="1:13" s="92" customFormat="1" ht="12.75">
      <c r="A322" s="585">
        <v>160</v>
      </c>
      <c r="B322" s="586" t="s">
        <v>709</v>
      </c>
      <c r="C322" s="586" t="s">
        <v>1860</v>
      </c>
      <c r="D322" s="559">
        <v>1</v>
      </c>
      <c r="E322" s="559">
        <v>1</v>
      </c>
      <c r="F322" s="560" t="s">
        <v>710</v>
      </c>
      <c r="G322" s="561" t="s">
        <v>526</v>
      </c>
      <c r="H322" s="559" t="s">
        <v>1975</v>
      </c>
      <c r="I322" s="575">
        <v>0</v>
      </c>
      <c r="J322" s="563" t="s">
        <v>1975</v>
      </c>
      <c r="K322" s="564" t="s">
        <v>373</v>
      </c>
      <c r="L322" s="565">
        <v>0</v>
      </c>
      <c r="M322" s="565">
        <v>0</v>
      </c>
    </row>
    <row r="323" spans="1:13" s="92" customFormat="1" ht="12.75">
      <c r="A323" s="584"/>
      <c r="B323" s="573" t="s">
        <v>688</v>
      </c>
      <c r="C323" s="568"/>
      <c r="D323" s="568"/>
      <c r="E323" s="568"/>
      <c r="F323" s="569" t="s">
        <v>705</v>
      </c>
      <c r="G323" s="570" t="s">
        <v>529</v>
      </c>
      <c r="H323" s="568"/>
      <c r="I323" s="576">
        <v>540</v>
      </c>
      <c r="J323" s="572"/>
      <c r="K323" s="573"/>
      <c r="L323" s="574"/>
      <c r="M323" s="574"/>
    </row>
    <row r="324" spans="1:13" s="92" customFormat="1" ht="12.75">
      <c r="A324" s="585">
        <v>161</v>
      </c>
      <c r="B324" s="586" t="s">
        <v>711</v>
      </c>
      <c r="C324" s="586" t="s">
        <v>1860</v>
      </c>
      <c r="D324" s="586">
        <v>1</v>
      </c>
      <c r="E324" s="586">
        <v>1</v>
      </c>
      <c r="F324" s="586" t="s">
        <v>644</v>
      </c>
      <c r="G324" s="1551" t="s">
        <v>645</v>
      </c>
      <c r="H324" s="559" t="s">
        <v>1975</v>
      </c>
      <c r="I324" s="588">
        <v>0</v>
      </c>
      <c r="J324" s="563" t="s">
        <v>1975</v>
      </c>
      <c r="K324" s="564" t="s">
        <v>373</v>
      </c>
      <c r="L324" s="565">
        <v>0</v>
      </c>
      <c r="M324" s="565">
        <v>0</v>
      </c>
    </row>
    <row r="325" spans="1:13" s="92" customFormat="1" ht="12.75">
      <c r="A325" s="589"/>
      <c r="B325" s="573" t="s">
        <v>688</v>
      </c>
      <c r="C325" s="573"/>
      <c r="D325" s="573"/>
      <c r="E325" s="573"/>
      <c r="F325" s="573" t="s">
        <v>647</v>
      </c>
      <c r="G325" s="1552"/>
      <c r="H325" s="573"/>
      <c r="I325" s="591">
        <v>201</v>
      </c>
      <c r="J325" s="572"/>
      <c r="K325" s="573"/>
      <c r="L325" s="574"/>
      <c r="M325" s="574"/>
    </row>
    <row r="326" spans="1:13" s="92" customFormat="1" ht="12.75">
      <c r="A326" s="585">
        <v>162</v>
      </c>
      <c r="B326" s="586" t="s">
        <v>712</v>
      </c>
      <c r="C326" s="586" t="s">
        <v>1860</v>
      </c>
      <c r="D326" s="586">
        <v>1</v>
      </c>
      <c r="E326" s="586">
        <v>1</v>
      </c>
      <c r="F326" s="586" t="s">
        <v>644</v>
      </c>
      <c r="G326" s="1551" t="s">
        <v>645</v>
      </c>
      <c r="H326" s="559" t="s">
        <v>1975</v>
      </c>
      <c r="I326" s="588">
        <v>0</v>
      </c>
      <c r="J326" s="563" t="s">
        <v>1975</v>
      </c>
      <c r="K326" s="564" t="s">
        <v>373</v>
      </c>
      <c r="L326" s="565">
        <v>0</v>
      </c>
      <c r="M326" s="565">
        <v>0</v>
      </c>
    </row>
    <row r="327" spans="1:13" s="92" customFormat="1" ht="12.75">
      <c r="A327" s="589"/>
      <c r="B327" s="573" t="s">
        <v>688</v>
      </c>
      <c r="C327" s="573"/>
      <c r="D327" s="573"/>
      <c r="E327" s="573"/>
      <c r="F327" s="573" t="s">
        <v>647</v>
      </c>
      <c r="G327" s="1552"/>
      <c r="H327" s="573"/>
      <c r="I327" s="591">
        <v>125</v>
      </c>
      <c r="J327" s="572"/>
      <c r="K327" s="573"/>
      <c r="L327" s="574"/>
      <c r="M327" s="574"/>
    </row>
    <row r="328" spans="1:13" s="92" customFormat="1" ht="12.75">
      <c r="A328" s="585">
        <v>163</v>
      </c>
      <c r="B328" s="586" t="s">
        <v>713</v>
      </c>
      <c r="C328" s="586" t="s">
        <v>1860</v>
      </c>
      <c r="D328" s="586">
        <v>1</v>
      </c>
      <c r="E328" s="586">
        <v>1</v>
      </c>
      <c r="F328" s="586" t="s">
        <v>644</v>
      </c>
      <c r="G328" s="1551" t="s">
        <v>645</v>
      </c>
      <c r="H328" s="559" t="s">
        <v>1975</v>
      </c>
      <c r="I328" s="588">
        <v>0</v>
      </c>
      <c r="J328" s="563" t="s">
        <v>1975</v>
      </c>
      <c r="K328" s="564" t="s">
        <v>373</v>
      </c>
      <c r="L328" s="565">
        <v>0</v>
      </c>
      <c r="M328" s="565">
        <v>0</v>
      </c>
    </row>
    <row r="329" spans="1:13" s="92" customFormat="1" ht="12.75">
      <c r="A329" s="589"/>
      <c r="B329" s="573" t="s">
        <v>714</v>
      </c>
      <c r="C329" s="573"/>
      <c r="D329" s="573"/>
      <c r="E329" s="573"/>
      <c r="F329" s="573" t="s">
        <v>647</v>
      </c>
      <c r="G329" s="1552"/>
      <c r="H329" s="573"/>
      <c r="I329" s="591">
        <v>11</v>
      </c>
      <c r="J329" s="572"/>
      <c r="K329" s="573"/>
      <c r="L329" s="574"/>
      <c r="M329" s="574"/>
    </row>
    <row r="330" spans="1:13" s="92" customFormat="1" ht="12.75">
      <c r="A330" s="558">
        <v>164</v>
      </c>
      <c r="B330" s="559" t="s">
        <v>715</v>
      </c>
      <c r="C330" s="559" t="s">
        <v>1860</v>
      </c>
      <c r="D330" s="559">
        <v>1</v>
      </c>
      <c r="E330" s="586">
        <v>1</v>
      </c>
      <c r="F330" s="586" t="s">
        <v>716</v>
      </c>
      <c r="G330" s="1551" t="s">
        <v>645</v>
      </c>
      <c r="H330" s="559" t="s">
        <v>1975</v>
      </c>
      <c r="I330" s="575">
        <v>178</v>
      </c>
      <c r="J330" s="563" t="s">
        <v>1975</v>
      </c>
      <c r="K330" s="564" t="s">
        <v>373</v>
      </c>
      <c r="L330" s="565">
        <v>0</v>
      </c>
      <c r="M330" s="565">
        <v>0</v>
      </c>
    </row>
    <row r="331" spans="1:13" s="92" customFormat="1" ht="12.75">
      <c r="A331" s="566"/>
      <c r="B331" s="568" t="s">
        <v>717</v>
      </c>
      <c r="C331" s="568"/>
      <c r="D331" s="568"/>
      <c r="E331" s="573"/>
      <c r="F331" s="573" t="s">
        <v>718</v>
      </c>
      <c r="G331" s="1552"/>
      <c r="H331" s="573"/>
      <c r="I331" s="576">
        <v>0</v>
      </c>
      <c r="J331" s="572"/>
      <c r="K331" s="573"/>
      <c r="L331" s="574"/>
      <c r="M331" s="574"/>
    </row>
    <row r="332" spans="1:13" s="92" customFormat="1" ht="12.75">
      <c r="A332" s="558">
        <v>165</v>
      </c>
      <c r="B332" s="559" t="s">
        <v>715</v>
      </c>
      <c r="C332" s="559" t="s">
        <v>1860</v>
      </c>
      <c r="D332" s="559">
        <v>1</v>
      </c>
      <c r="E332" s="586">
        <v>1</v>
      </c>
      <c r="F332" s="586" t="s">
        <v>716</v>
      </c>
      <c r="G332" s="1551" t="s">
        <v>645</v>
      </c>
      <c r="H332" s="559" t="s">
        <v>1975</v>
      </c>
      <c r="I332" s="575">
        <v>14</v>
      </c>
      <c r="J332" s="563" t="s">
        <v>1975</v>
      </c>
      <c r="K332" s="564" t="s">
        <v>373</v>
      </c>
      <c r="L332" s="565">
        <v>0</v>
      </c>
      <c r="M332" s="565">
        <v>0</v>
      </c>
    </row>
    <row r="333" spans="1:13" s="92" customFormat="1" ht="12.75">
      <c r="A333" s="566"/>
      <c r="B333" s="568" t="s">
        <v>717</v>
      </c>
      <c r="C333" s="568"/>
      <c r="D333" s="568"/>
      <c r="E333" s="573"/>
      <c r="F333" s="573" t="s">
        <v>719</v>
      </c>
      <c r="G333" s="1552"/>
      <c r="H333" s="573"/>
      <c r="I333" s="576">
        <v>0</v>
      </c>
      <c r="J333" s="572"/>
      <c r="K333" s="573"/>
      <c r="L333" s="574"/>
      <c r="M333" s="574"/>
    </row>
    <row r="334" spans="1:13" s="92" customFormat="1" ht="12.75">
      <c r="A334" s="558">
        <v>166</v>
      </c>
      <c r="B334" s="559" t="s">
        <v>715</v>
      </c>
      <c r="C334" s="559" t="s">
        <v>1860</v>
      </c>
      <c r="D334" s="559">
        <v>1</v>
      </c>
      <c r="E334" s="586">
        <v>1</v>
      </c>
      <c r="F334" s="586" t="s">
        <v>716</v>
      </c>
      <c r="G334" s="1551" t="s">
        <v>645</v>
      </c>
      <c r="H334" s="559" t="s">
        <v>1975</v>
      </c>
      <c r="I334" s="575">
        <v>6</v>
      </c>
      <c r="J334" s="563" t="s">
        <v>1975</v>
      </c>
      <c r="K334" s="564" t="s">
        <v>373</v>
      </c>
      <c r="L334" s="565">
        <v>0</v>
      </c>
      <c r="M334" s="565">
        <v>0</v>
      </c>
    </row>
    <row r="335" spans="1:13" s="92" customFormat="1" ht="12.75">
      <c r="A335" s="566"/>
      <c r="B335" s="568" t="s">
        <v>717</v>
      </c>
      <c r="C335" s="568"/>
      <c r="D335" s="568"/>
      <c r="E335" s="573"/>
      <c r="F335" s="573" t="s">
        <v>719</v>
      </c>
      <c r="G335" s="1552"/>
      <c r="H335" s="573"/>
      <c r="I335" s="576">
        <v>0</v>
      </c>
      <c r="J335" s="572"/>
      <c r="K335" s="573"/>
      <c r="L335" s="574"/>
      <c r="M335" s="574"/>
    </row>
    <row r="336" spans="1:13" s="92" customFormat="1" ht="12.75">
      <c r="A336" s="558">
        <v>167</v>
      </c>
      <c r="B336" s="559" t="s">
        <v>715</v>
      </c>
      <c r="C336" s="559" t="s">
        <v>1860</v>
      </c>
      <c r="D336" s="559">
        <v>1</v>
      </c>
      <c r="E336" s="586">
        <v>1</v>
      </c>
      <c r="F336" s="586" t="s">
        <v>716</v>
      </c>
      <c r="G336" s="1551" t="s">
        <v>645</v>
      </c>
      <c r="H336" s="559" t="s">
        <v>1975</v>
      </c>
      <c r="I336" s="575">
        <v>210</v>
      </c>
      <c r="J336" s="563" t="s">
        <v>1975</v>
      </c>
      <c r="K336" s="564" t="s">
        <v>373</v>
      </c>
      <c r="L336" s="565">
        <v>0</v>
      </c>
      <c r="M336" s="565">
        <v>0</v>
      </c>
    </row>
    <row r="337" spans="1:13" s="92" customFormat="1" ht="12.75">
      <c r="A337" s="566"/>
      <c r="B337" s="568" t="s">
        <v>720</v>
      </c>
      <c r="C337" s="568"/>
      <c r="D337" s="568"/>
      <c r="E337" s="573"/>
      <c r="F337" s="573" t="s">
        <v>718</v>
      </c>
      <c r="G337" s="1552"/>
      <c r="H337" s="573"/>
      <c r="I337" s="576">
        <v>0</v>
      </c>
      <c r="J337" s="572"/>
      <c r="K337" s="573"/>
      <c r="L337" s="574"/>
      <c r="M337" s="574"/>
    </row>
    <row r="338" spans="1:13" s="92" customFormat="1" ht="12.75">
      <c r="A338" s="558">
        <v>168</v>
      </c>
      <c r="B338" s="559" t="s">
        <v>715</v>
      </c>
      <c r="C338" s="559" t="s">
        <v>1860</v>
      </c>
      <c r="D338" s="559">
        <v>1</v>
      </c>
      <c r="E338" s="559">
        <v>1</v>
      </c>
      <c r="F338" s="586" t="s">
        <v>721</v>
      </c>
      <c r="G338" s="593" t="s">
        <v>420</v>
      </c>
      <c r="H338" s="559" t="s">
        <v>1975</v>
      </c>
      <c r="I338" s="575">
        <v>0</v>
      </c>
      <c r="J338" s="559" t="s">
        <v>1975</v>
      </c>
      <c r="K338" s="564" t="s">
        <v>373</v>
      </c>
      <c r="L338" s="565">
        <v>0</v>
      </c>
      <c r="M338" s="565">
        <v>0</v>
      </c>
    </row>
    <row r="339" spans="1:13" s="92" customFormat="1" ht="12.75">
      <c r="A339" s="566"/>
      <c r="B339" s="568" t="s">
        <v>720</v>
      </c>
      <c r="C339" s="568"/>
      <c r="D339" s="568"/>
      <c r="E339" s="568"/>
      <c r="F339" s="573" t="s">
        <v>722</v>
      </c>
      <c r="G339" s="573"/>
      <c r="H339" s="573"/>
      <c r="I339" s="576">
        <v>0</v>
      </c>
      <c r="J339" s="572"/>
      <c r="K339" s="573"/>
      <c r="L339" s="574"/>
      <c r="M339" s="574"/>
    </row>
    <row r="340" spans="1:13" s="92" customFormat="1" ht="12.75">
      <c r="A340" s="558">
        <v>169</v>
      </c>
      <c r="B340" s="559" t="s">
        <v>715</v>
      </c>
      <c r="C340" s="559" t="s">
        <v>1860</v>
      </c>
      <c r="D340" s="559">
        <v>1</v>
      </c>
      <c r="E340" s="586">
        <v>1</v>
      </c>
      <c r="F340" s="586" t="s">
        <v>716</v>
      </c>
      <c r="G340" s="1551" t="s">
        <v>645</v>
      </c>
      <c r="H340" s="559" t="s">
        <v>1975</v>
      </c>
      <c r="I340" s="575">
        <v>49</v>
      </c>
      <c r="J340" s="563" t="s">
        <v>1975</v>
      </c>
      <c r="K340" s="564" t="s">
        <v>373</v>
      </c>
      <c r="L340" s="565">
        <v>0</v>
      </c>
      <c r="M340" s="565">
        <v>0</v>
      </c>
    </row>
    <row r="341" spans="1:13" s="92" customFormat="1" ht="12.75">
      <c r="A341" s="566"/>
      <c r="B341" s="568" t="s">
        <v>720</v>
      </c>
      <c r="C341" s="568"/>
      <c r="D341" s="568"/>
      <c r="E341" s="573"/>
      <c r="F341" s="573" t="s">
        <v>719</v>
      </c>
      <c r="G341" s="1552"/>
      <c r="H341" s="573"/>
      <c r="I341" s="576">
        <v>0</v>
      </c>
      <c r="J341" s="572"/>
      <c r="K341" s="573"/>
      <c r="L341" s="574"/>
      <c r="M341" s="574"/>
    </row>
    <row r="342" spans="1:13" s="92" customFormat="1" ht="12.75">
      <c r="A342" s="558">
        <v>170</v>
      </c>
      <c r="B342" s="559" t="s">
        <v>723</v>
      </c>
      <c r="C342" s="559" t="s">
        <v>1860</v>
      </c>
      <c r="D342" s="559">
        <v>1</v>
      </c>
      <c r="E342" s="586">
        <v>1</v>
      </c>
      <c r="F342" s="586" t="s">
        <v>644</v>
      </c>
      <c r="G342" s="1551" t="s">
        <v>645</v>
      </c>
      <c r="H342" s="559" t="s">
        <v>1975</v>
      </c>
      <c r="I342" s="575">
        <v>0</v>
      </c>
      <c r="J342" s="563" t="s">
        <v>1975</v>
      </c>
      <c r="K342" s="564" t="s">
        <v>373</v>
      </c>
      <c r="L342" s="565">
        <v>0</v>
      </c>
      <c r="M342" s="565">
        <v>0</v>
      </c>
    </row>
    <row r="343" spans="1:13" s="92" customFormat="1" ht="12.75">
      <c r="A343" s="584"/>
      <c r="B343" s="568" t="s">
        <v>724</v>
      </c>
      <c r="C343" s="568"/>
      <c r="D343" s="568"/>
      <c r="E343" s="573"/>
      <c r="F343" s="573" t="s">
        <v>647</v>
      </c>
      <c r="G343" s="1552"/>
      <c r="H343" s="573"/>
      <c r="I343" s="576">
        <v>4</v>
      </c>
      <c r="J343" s="572"/>
      <c r="K343" s="573"/>
      <c r="L343" s="574"/>
      <c r="M343" s="574"/>
    </row>
    <row r="344" spans="1:13" s="92" customFormat="1" ht="12.75">
      <c r="A344" s="558">
        <v>171</v>
      </c>
      <c r="B344" s="559" t="s">
        <v>723</v>
      </c>
      <c r="C344" s="559" t="s">
        <v>1860</v>
      </c>
      <c r="D344" s="559">
        <v>1</v>
      </c>
      <c r="E344" s="586">
        <v>1</v>
      </c>
      <c r="F344" s="586" t="s">
        <v>721</v>
      </c>
      <c r="G344" s="593" t="s">
        <v>420</v>
      </c>
      <c r="H344" s="559" t="s">
        <v>1975</v>
      </c>
      <c r="I344" s="578">
        <v>0</v>
      </c>
      <c r="J344" s="583"/>
      <c r="K344" s="582"/>
      <c r="L344" s="595"/>
      <c r="M344" s="595"/>
    </row>
    <row r="345" spans="1:13" s="92" customFormat="1" ht="12.75">
      <c r="A345" s="566"/>
      <c r="B345" s="568" t="s">
        <v>724</v>
      </c>
      <c r="C345" s="568"/>
      <c r="D345" s="568"/>
      <c r="E345" s="573"/>
      <c r="F345" s="573" t="s">
        <v>722</v>
      </c>
      <c r="G345" s="573"/>
      <c r="H345" s="573"/>
      <c r="I345" s="578">
        <v>22</v>
      </c>
      <c r="J345" s="583"/>
      <c r="K345" s="582"/>
      <c r="L345" s="595"/>
      <c r="M345" s="595"/>
    </row>
    <row r="346" spans="1:13" s="92" customFormat="1" ht="12.75">
      <c r="A346" s="558">
        <v>172</v>
      </c>
      <c r="B346" s="559" t="s">
        <v>723</v>
      </c>
      <c r="C346" s="559" t="s">
        <v>1860</v>
      </c>
      <c r="D346" s="559">
        <v>1</v>
      </c>
      <c r="E346" s="586">
        <v>1</v>
      </c>
      <c r="F346" s="586" t="s">
        <v>721</v>
      </c>
      <c r="G346" s="593" t="s">
        <v>420</v>
      </c>
      <c r="H346" s="559" t="s">
        <v>1975</v>
      </c>
      <c r="I346" s="575">
        <v>0</v>
      </c>
      <c r="J346" s="563" t="s">
        <v>1975</v>
      </c>
      <c r="K346" s="564" t="s">
        <v>373</v>
      </c>
      <c r="L346" s="565">
        <v>0</v>
      </c>
      <c r="M346" s="565">
        <v>0</v>
      </c>
    </row>
    <row r="347" spans="1:13" s="92" customFormat="1" ht="12.75">
      <c r="A347" s="566"/>
      <c r="B347" s="577" t="s">
        <v>725</v>
      </c>
      <c r="C347" s="568"/>
      <c r="D347" s="568"/>
      <c r="E347" s="573"/>
      <c r="F347" s="573" t="s">
        <v>722</v>
      </c>
      <c r="G347" s="573"/>
      <c r="H347" s="573"/>
      <c r="I347" s="576">
        <v>32</v>
      </c>
      <c r="J347" s="572"/>
      <c r="K347" s="573"/>
      <c r="L347" s="574"/>
      <c r="M347" s="574"/>
    </row>
    <row r="348" spans="1:13" s="92" customFormat="1" ht="12.75" customHeight="1">
      <c r="A348" s="585">
        <v>173</v>
      </c>
      <c r="B348" s="559" t="s">
        <v>726</v>
      </c>
      <c r="C348" s="559" t="s">
        <v>1860</v>
      </c>
      <c r="D348" s="559">
        <v>1</v>
      </c>
      <c r="E348" s="586">
        <v>1</v>
      </c>
      <c r="F348" s="586" t="s">
        <v>727</v>
      </c>
      <c r="G348" s="1553" t="s">
        <v>408</v>
      </c>
      <c r="H348" s="559" t="s">
        <v>1975</v>
      </c>
      <c r="I348" s="588">
        <v>0</v>
      </c>
      <c r="J348" s="563" t="s">
        <v>1975</v>
      </c>
      <c r="K348" s="564" t="s">
        <v>373</v>
      </c>
      <c r="L348" s="565">
        <v>0</v>
      </c>
      <c r="M348" s="565">
        <v>0</v>
      </c>
    </row>
    <row r="349" spans="1:13" s="92" customFormat="1" ht="12.75">
      <c r="A349" s="589"/>
      <c r="B349" s="577" t="s">
        <v>728</v>
      </c>
      <c r="C349" s="568"/>
      <c r="D349" s="568"/>
      <c r="E349" s="573"/>
      <c r="F349" s="573"/>
      <c r="G349" s="1554"/>
      <c r="H349" s="573"/>
      <c r="I349" s="591">
        <v>23</v>
      </c>
      <c r="J349" s="583"/>
      <c r="K349" s="573"/>
      <c r="L349" s="574"/>
      <c r="M349" s="574"/>
    </row>
    <row r="350" spans="1:13" s="92" customFormat="1" ht="12.75">
      <c r="A350" s="585">
        <v>174</v>
      </c>
      <c r="B350" s="586" t="s">
        <v>729</v>
      </c>
      <c r="C350" s="559" t="s">
        <v>1977</v>
      </c>
      <c r="D350" s="559">
        <v>1</v>
      </c>
      <c r="E350" s="559">
        <v>1</v>
      </c>
      <c r="F350" s="560" t="s">
        <v>730</v>
      </c>
      <c r="G350" s="561" t="s">
        <v>512</v>
      </c>
      <c r="H350" s="559" t="s">
        <v>1975</v>
      </c>
      <c r="I350" s="596">
        <v>0</v>
      </c>
      <c r="J350" s="586" t="s">
        <v>1975</v>
      </c>
      <c r="K350" s="586" t="s">
        <v>373</v>
      </c>
      <c r="L350" s="565">
        <v>0</v>
      </c>
      <c r="M350" s="565">
        <v>0</v>
      </c>
    </row>
    <row r="351" spans="1:13" s="92" customFormat="1" ht="12.75">
      <c r="A351" s="589"/>
      <c r="B351" s="573" t="s">
        <v>731</v>
      </c>
      <c r="C351" s="568"/>
      <c r="D351" s="568"/>
      <c r="E351" s="568"/>
      <c r="F351" s="569" t="s">
        <v>514</v>
      </c>
      <c r="G351" s="570"/>
      <c r="H351" s="573"/>
      <c r="I351" s="597">
        <v>0</v>
      </c>
      <c r="J351" s="573"/>
      <c r="K351" s="573"/>
      <c r="L351" s="574"/>
      <c r="M351" s="574"/>
    </row>
    <row r="352" spans="1:13" s="92" customFormat="1" ht="12.75">
      <c r="A352" s="558">
        <v>175</v>
      </c>
      <c r="B352" s="586" t="s">
        <v>732</v>
      </c>
      <c r="C352" s="559" t="s">
        <v>1977</v>
      </c>
      <c r="D352" s="559">
        <v>1</v>
      </c>
      <c r="E352" s="559" t="s">
        <v>1978</v>
      </c>
      <c r="F352" s="586" t="s">
        <v>699</v>
      </c>
      <c r="G352" s="1553" t="s">
        <v>645</v>
      </c>
      <c r="H352" s="559" t="s">
        <v>1975</v>
      </c>
      <c r="I352" s="596">
        <v>0</v>
      </c>
      <c r="J352" s="586" t="s">
        <v>1975</v>
      </c>
      <c r="K352" s="586" t="s">
        <v>373</v>
      </c>
      <c r="L352" s="565">
        <v>0</v>
      </c>
      <c r="M352" s="565">
        <v>0</v>
      </c>
    </row>
    <row r="353" spans="1:13" s="92" customFormat="1" ht="12.75">
      <c r="A353" s="566"/>
      <c r="B353" s="573" t="s">
        <v>731</v>
      </c>
      <c r="C353" s="568"/>
      <c r="D353" s="568"/>
      <c r="E353" s="568"/>
      <c r="F353" s="573" t="s">
        <v>733</v>
      </c>
      <c r="G353" s="1555"/>
      <c r="H353" s="568"/>
      <c r="I353" s="597">
        <v>0</v>
      </c>
      <c r="J353" s="573"/>
      <c r="K353" s="573"/>
      <c r="L353" s="574"/>
      <c r="M353" s="574"/>
    </row>
    <row r="354" spans="1:13" s="92" customFormat="1" ht="12.75">
      <c r="A354" s="558">
        <v>176</v>
      </c>
      <c r="B354" s="559" t="s">
        <v>734</v>
      </c>
      <c r="C354" s="559" t="s">
        <v>1860</v>
      </c>
      <c r="D354" s="559">
        <v>1</v>
      </c>
      <c r="E354" s="586">
        <v>1</v>
      </c>
      <c r="F354" s="586" t="s">
        <v>721</v>
      </c>
      <c r="G354" s="586" t="s">
        <v>420</v>
      </c>
      <c r="H354" s="559" t="s">
        <v>1975</v>
      </c>
      <c r="I354" s="588">
        <v>0</v>
      </c>
      <c r="J354" s="563" t="s">
        <v>1975</v>
      </c>
      <c r="K354" s="564" t="s">
        <v>373</v>
      </c>
      <c r="L354" s="565">
        <v>0</v>
      </c>
      <c r="M354" s="565">
        <v>0</v>
      </c>
    </row>
    <row r="355" spans="1:13" s="92" customFormat="1" ht="12.75">
      <c r="A355" s="566"/>
      <c r="B355" s="577" t="s">
        <v>735</v>
      </c>
      <c r="C355" s="568"/>
      <c r="D355" s="568"/>
      <c r="E355" s="573"/>
      <c r="F355" s="573" t="s">
        <v>722</v>
      </c>
      <c r="G355" s="573"/>
      <c r="H355" s="573"/>
      <c r="I355" s="591">
        <v>1</v>
      </c>
      <c r="J355" s="583"/>
      <c r="K355" s="573"/>
      <c r="L355" s="574"/>
      <c r="M355" s="574"/>
    </row>
    <row r="356" spans="1:13" s="92" customFormat="1" ht="12.75">
      <c r="A356" s="558">
        <v>177</v>
      </c>
      <c r="B356" s="559" t="s">
        <v>736</v>
      </c>
      <c r="C356" s="559" t="s">
        <v>1860</v>
      </c>
      <c r="D356" s="559">
        <v>1</v>
      </c>
      <c r="E356" s="586">
        <v>1</v>
      </c>
      <c r="F356" s="586" t="s">
        <v>721</v>
      </c>
      <c r="G356" s="586" t="s">
        <v>420</v>
      </c>
      <c r="H356" s="559" t="s">
        <v>1975</v>
      </c>
      <c r="I356" s="588">
        <v>0</v>
      </c>
      <c r="J356" s="563" t="s">
        <v>1975</v>
      </c>
      <c r="K356" s="564" t="s">
        <v>373</v>
      </c>
      <c r="L356" s="565">
        <v>0</v>
      </c>
      <c r="M356" s="565">
        <v>0</v>
      </c>
    </row>
    <row r="357" spans="1:13" s="92" customFormat="1" ht="12.75">
      <c r="A357" s="566"/>
      <c r="B357" s="577" t="s">
        <v>737</v>
      </c>
      <c r="C357" s="568"/>
      <c r="D357" s="568"/>
      <c r="E357" s="573"/>
      <c r="F357" s="573" t="s">
        <v>722</v>
      </c>
      <c r="G357" s="573"/>
      <c r="H357" s="573"/>
      <c r="I357" s="591">
        <v>1</v>
      </c>
      <c r="J357" s="583"/>
      <c r="K357" s="573"/>
      <c r="L357" s="574"/>
      <c r="M357" s="574"/>
    </row>
    <row r="358" spans="1:13" s="92" customFormat="1" ht="12.75">
      <c r="A358" s="585">
        <v>178</v>
      </c>
      <c r="B358" s="559" t="s">
        <v>738</v>
      </c>
      <c r="C358" s="559" t="s">
        <v>1860</v>
      </c>
      <c r="D358" s="559">
        <v>1</v>
      </c>
      <c r="E358" s="586">
        <v>1</v>
      </c>
      <c r="F358" s="586" t="s">
        <v>721</v>
      </c>
      <c r="G358" s="586" t="s">
        <v>420</v>
      </c>
      <c r="H358" s="559" t="s">
        <v>1975</v>
      </c>
      <c r="I358" s="588">
        <v>0</v>
      </c>
      <c r="J358" s="563" t="s">
        <v>1975</v>
      </c>
      <c r="K358" s="564" t="s">
        <v>373</v>
      </c>
      <c r="L358" s="565">
        <v>0</v>
      </c>
      <c r="M358" s="565">
        <v>0</v>
      </c>
    </row>
    <row r="359" spans="1:13" s="92" customFormat="1" ht="12.75">
      <c r="A359" s="598"/>
      <c r="B359" s="577" t="s">
        <v>739</v>
      </c>
      <c r="C359" s="568"/>
      <c r="D359" s="568"/>
      <c r="E359" s="573"/>
      <c r="F359" s="573" t="s">
        <v>722</v>
      </c>
      <c r="G359" s="573"/>
      <c r="H359" s="573"/>
      <c r="I359" s="591">
        <v>1</v>
      </c>
      <c r="J359" s="583"/>
      <c r="K359" s="573"/>
      <c r="L359" s="574"/>
      <c r="M359" s="574"/>
    </row>
    <row r="360" spans="1:13" s="92" customFormat="1" ht="12.75">
      <c r="A360" s="599">
        <v>179</v>
      </c>
      <c r="B360" s="586" t="s">
        <v>740</v>
      </c>
      <c r="C360" s="559" t="s">
        <v>1977</v>
      </c>
      <c r="D360" s="559">
        <v>1</v>
      </c>
      <c r="E360" s="559">
        <v>1</v>
      </c>
      <c r="F360" s="560" t="s">
        <v>511</v>
      </c>
      <c r="G360" s="561" t="s">
        <v>512</v>
      </c>
      <c r="H360" s="600" t="s">
        <v>1975</v>
      </c>
      <c r="I360" s="596">
        <v>729</v>
      </c>
      <c r="J360" s="601" t="s">
        <v>1975</v>
      </c>
      <c r="K360" s="586" t="s">
        <v>373</v>
      </c>
      <c r="L360" s="565">
        <v>0</v>
      </c>
      <c r="M360" s="565">
        <v>0</v>
      </c>
    </row>
    <row r="361" spans="1:13" s="92" customFormat="1" ht="12.75">
      <c r="A361" s="598"/>
      <c r="B361" s="573" t="s">
        <v>741</v>
      </c>
      <c r="C361" s="568"/>
      <c r="D361" s="568"/>
      <c r="E361" s="568"/>
      <c r="F361" s="569" t="s">
        <v>514</v>
      </c>
      <c r="G361" s="570"/>
      <c r="H361" s="602"/>
      <c r="I361" s="597">
        <v>0</v>
      </c>
      <c r="J361" s="603"/>
      <c r="K361" s="573"/>
      <c r="L361" s="574"/>
      <c r="M361" s="574"/>
    </row>
    <row r="362" spans="1:13" s="92" customFormat="1" ht="25.5">
      <c r="A362" s="599">
        <v>180</v>
      </c>
      <c r="B362" s="604" t="s">
        <v>742</v>
      </c>
      <c r="C362" s="605" t="s">
        <v>1860</v>
      </c>
      <c r="D362" s="605">
        <v>1</v>
      </c>
      <c r="E362" s="605">
        <v>1</v>
      </c>
      <c r="F362" s="604" t="s">
        <v>743</v>
      </c>
      <c r="G362" s="606" t="s">
        <v>744</v>
      </c>
      <c r="H362" s="605" t="s">
        <v>1975</v>
      </c>
      <c r="I362" s="544">
        <v>57</v>
      </c>
      <c r="J362" s="604" t="s">
        <v>1975</v>
      </c>
      <c r="K362" s="604" t="s">
        <v>373</v>
      </c>
      <c r="L362" s="604">
        <v>0</v>
      </c>
      <c r="M362" s="604">
        <v>0</v>
      </c>
    </row>
    <row r="363" spans="1:13" s="92" customFormat="1" ht="25.5">
      <c r="A363" s="589">
        <v>181</v>
      </c>
      <c r="B363" s="604" t="s">
        <v>745</v>
      </c>
      <c r="C363" s="605" t="s">
        <v>1860</v>
      </c>
      <c r="D363" s="605">
        <v>1</v>
      </c>
      <c r="E363" s="605" t="s">
        <v>1978</v>
      </c>
      <c r="F363" s="604" t="s">
        <v>746</v>
      </c>
      <c r="G363" s="606" t="s">
        <v>645</v>
      </c>
      <c r="H363" s="605" t="s">
        <v>1975</v>
      </c>
      <c r="I363" s="544">
        <v>178</v>
      </c>
      <c r="J363" s="604" t="s">
        <v>1975</v>
      </c>
      <c r="K363" s="604" t="s">
        <v>373</v>
      </c>
      <c r="L363" s="604">
        <v>0</v>
      </c>
      <c r="M363" s="604">
        <v>0</v>
      </c>
    </row>
    <row r="364" spans="1:13" s="92" customFormat="1" ht="25.5">
      <c r="A364" s="599">
        <v>182</v>
      </c>
      <c r="B364" s="604" t="s">
        <v>747</v>
      </c>
      <c r="C364" s="605" t="s">
        <v>1860</v>
      </c>
      <c r="D364" s="605">
        <v>1</v>
      </c>
      <c r="E364" s="605" t="s">
        <v>1978</v>
      </c>
      <c r="F364" s="604" t="s">
        <v>746</v>
      </c>
      <c r="G364" s="606" t="s">
        <v>645</v>
      </c>
      <c r="H364" s="605" t="s">
        <v>1975</v>
      </c>
      <c r="I364" s="544">
        <v>138</v>
      </c>
      <c r="J364" s="604" t="s">
        <v>1975</v>
      </c>
      <c r="K364" s="604" t="s">
        <v>373</v>
      </c>
      <c r="L364" s="604">
        <v>0</v>
      </c>
      <c r="M364" s="604">
        <v>0</v>
      </c>
    </row>
    <row r="365" spans="1:13" s="92" customFormat="1" ht="25.5">
      <c r="A365" s="599">
        <v>183</v>
      </c>
      <c r="B365" s="604" t="s">
        <v>748</v>
      </c>
      <c r="C365" s="605" t="s">
        <v>1860</v>
      </c>
      <c r="D365" s="605">
        <v>1</v>
      </c>
      <c r="E365" s="605">
        <v>1</v>
      </c>
      <c r="F365" s="604" t="s">
        <v>749</v>
      </c>
      <c r="G365" s="606" t="s">
        <v>744</v>
      </c>
      <c r="H365" s="605" t="s">
        <v>1975</v>
      </c>
      <c r="I365" s="544">
        <v>252</v>
      </c>
      <c r="J365" s="604" t="s">
        <v>1975</v>
      </c>
      <c r="K365" s="604" t="s">
        <v>373</v>
      </c>
      <c r="L365" s="604">
        <v>0</v>
      </c>
      <c r="M365" s="604">
        <v>0</v>
      </c>
    </row>
    <row r="366" spans="1:13" s="92" customFormat="1" ht="25.5">
      <c r="A366" s="599">
        <v>184</v>
      </c>
      <c r="B366" s="604" t="s">
        <v>750</v>
      </c>
      <c r="C366" s="605" t="s">
        <v>1860</v>
      </c>
      <c r="D366" s="605">
        <v>1</v>
      </c>
      <c r="E366" s="605">
        <v>1</v>
      </c>
      <c r="F366" s="604" t="s">
        <v>743</v>
      </c>
      <c r="G366" s="606" t="s">
        <v>744</v>
      </c>
      <c r="H366" s="605" t="s">
        <v>1975</v>
      </c>
      <c r="I366" s="544">
        <v>195</v>
      </c>
      <c r="J366" s="604" t="s">
        <v>1975</v>
      </c>
      <c r="K366" s="604" t="s">
        <v>373</v>
      </c>
      <c r="L366" s="604">
        <v>0</v>
      </c>
      <c r="M366" s="604">
        <v>0</v>
      </c>
    </row>
    <row r="367" spans="1:13" s="92" customFormat="1" ht="25.5">
      <c r="A367" s="599">
        <v>185</v>
      </c>
      <c r="B367" s="604" t="s">
        <v>751</v>
      </c>
      <c r="C367" s="605" t="s">
        <v>1860</v>
      </c>
      <c r="D367" s="605">
        <v>1</v>
      </c>
      <c r="E367" s="605">
        <v>1</v>
      </c>
      <c r="F367" s="604" t="s">
        <v>752</v>
      </c>
      <c r="G367" s="606" t="s">
        <v>744</v>
      </c>
      <c r="H367" s="605" t="s">
        <v>1975</v>
      </c>
      <c r="I367" s="544">
        <v>134</v>
      </c>
      <c r="J367" s="604" t="s">
        <v>1975</v>
      </c>
      <c r="K367" s="604" t="s">
        <v>373</v>
      </c>
      <c r="L367" s="604">
        <v>0</v>
      </c>
      <c r="M367" s="604">
        <v>0</v>
      </c>
    </row>
    <row r="368" spans="1:13" s="92" customFormat="1" ht="25.5">
      <c r="A368" s="599">
        <v>186</v>
      </c>
      <c r="B368" s="604" t="s">
        <v>753</v>
      </c>
      <c r="C368" s="605" t="s">
        <v>1860</v>
      </c>
      <c r="D368" s="605">
        <v>1</v>
      </c>
      <c r="E368" s="605" t="s">
        <v>1978</v>
      </c>
      <c r="F368" s="604" t="s">
        <v>746</v>
      </c>
      <c r="G368" s="606" t="s">
        <v>645</v>
      </c>
      <c r="H368" s="605" t="s">
        <v>1975</v>
      </c>
      <c r="I368" s="544">
        <v>78</v>
      </c>
      <c r="J368" s="604" t="s">
        <v>1975</v>
      </c>
      <c r="K368" s="604" t="s">
        <v>373</v>
      </c>
      <c r="L368" s="604">
        <v>0</v>
      </c>
      <c r="M368" s="604">
        <v>0</v>
      </c>
    </row>
    <row r="369" spans="1:13" s="92" customFormat="1" ht="25.5">
      <c r="A369" s="599">
        <v>187</v>
      </c>
      <c r="B369" s="604" t="s">
        <v>754</v>
      </c>
      <c r="C369" s="605" t="s">
        <v>1860</v>
      </c>
      <c r="D369" s="605">
        <v>1</v>
      </c>
      <c r="E369" s="605">
        <v>1</v>
      </c>
      <c r="F369" s="604" t="s">
        <v>755</v>
      </c>
      <c r="G369" s="606" t="s">
        <v>512</v>
      </c>
      <c r="H369" s="605" t="s">
        <v>1975</v>
      </c>
      <c r="I369" s="544">
        <v>60</v>
      </c>
      <c r="J369" s="604" t="s">
        <v>1975</v>
      </c>
      <c r="K369" s="604" t="s">
        <v>373</v>
      </c>
      <c r="L369" s="604">
        <v>0</v>
      </c>
      <c r="M369" s="604">
        <v>0</v>
      </c>
    </row>
    <row r="370" spans="1:13" s="92" customFormat="1" ht="25.5">
      <c r="A370" s="599">
        <v>188</v>
      </c>
      <c r="B370" s="604" t="s">
        <v>756</v>
      </c>
      <c r="C370" s="605" t="s">
        <v>1860</v>
      </c>
      <c r="D370" s="605">
        <v>1</v>
      </c>
      <c r="E370" s="605">
        <v>1</v>
      </c>
      <c r="F370" s="604" t="s">
        <v>755</v>
      </c>
      <c r="G370" s="606" t="s">
        <v>512</v>
      </c>
      <c r="H370" s="605" t="s">
        <v>1975</v>
      </c>
      <c r="I370" s="544">
        <v>46</v>
      </c>
      <c r="J370" s="604" t="s">
        <v>1975</v>
      </c>
      <c r="K370" s="604" t="s">
        <v>373</v>
      </c>
      <c r="L370" s="604">
        <v>0</v>
      </c>
      <c r="M370" s="604">
        <v>0</v>
      </c>
    </row>
    <row r="371" spans="1:13" s="92" customFormat="1" ht="25.5">
      <c r="A371" s="599">
        <v>189</v>
      </c>
      <c r="B371" s="604" t="s">
        <v>757</v>
      </c>
      <c r="C371" s="605" t="s">
        <v>1860</v>
      </c>
      <c r="D371" s="605">
        <v>1</v>
      </c>
      <c r="E371" s="605">
        <v>1</v>
      </c>
      <c r="F371" s="604" t="s">
        <v>752</v>
      </c>
      <c r="G371" s="606" t="s">
        <v>744</v>
      </c>
      <c r="H371" s="605" t="s">
        <v>1975</v>
      </c>
      <c r="I371" s="544">
        <v>60</v>
      </c>
      <c r="J371" s="604" t="s">
        <v>1975</v>
      </c>
      <c r="K371" s="604" t="s">
        <v>373</v>
      </c>
      <c r="L371" s="604">
        <v>0</v>
      </c>
      <c r="M371" s="604">
        <v>0</v>
      </c>
    </row>
    <row r="372" spans="1:13" s="92" customFormat="1" ht="25.5">
      <c r="A372" s="599">
        <v>190</v>
      </c>
      <c r="B372" s="604" t="s">
        <v>758</v>
      </c>
      <c r="C372" s="605" t="s">
        <v>1860</v>
      </c>
      <c r="D372" s="605">
        <v>1</v>
      </c>
      <c r="E372" s="605">
        <v>1</v>
      </c>
      <c r="F372" s="604" t="s">
        <v>755</v>
      </c>
      <c r="G372" s="606" t="s">
        <v>512</v>
      </c>
      <c r="H372" s="605" t="s">
        <v>1975</v>
      </c>
      <c r="I372" s="544">
        <v>43</v>
      </c>
      <c r="J372" s="604" t="s">
        <v>1975</v>
      </c>
      <c r="K372" s="604" t="s">
        <v>373</v>
      </c>
      <c r="L372" s="604">
        <v>0</v>
      </c>
      <c r="M372" s="604">
        <v>0</v>
      </c>
    </row>
    <row r="373" spans="1:13" s="92" customFormat="1" ht="25.5">
      <c r="A373" s="599">
        <v>191</v>
      </c>
      <c r="B373" s="604" t="s">
        <v>759</v>
      </c>
      <c r="C373" s="605" t="s">
        <v>1860</v>
      </c>
      <c r="D373" s="605">
        <v>1</v>
      </c>
      <c r="E373" s="605">
        <v>1</v>
      </c>
      <c r="F373" s="604" t="s">
        <v>752</v>
      </c>
      <c r="G373" s="606" t="s">
        <v>744</v>
      </c>
      <c r="H373" s="605" t="s">
        <v>1975</v>
      </c>
      <c r="I373" s="544">
        <v>126</v>
      </c>
      <c r="J373" s="604" t="s">
        <v>1975</v>
      </c>
      <c r="K373" s="604" t="s">
        <v>373</v>
      </c>
      <c r="L373" s="604">
        <v>0</v>
      </c>
      <c r="M373" s="604">
        <v>0</v>
      </c>
    </row>
    <row r="374" spans="1:13" s="92" customFormat="1" ht="25.5">
      <c r="A374" s="599">
        <v>192</v>
      </c>
      <c r="B374" s="604" t="s">
        <v>760</v>
      </c>
      <c r="C374" s="605" t="s">
        <v>761</v>
      </c>
      <c r="D374" s="605">
        <v>1</v>
      </c>
      <c r="E374" s="605">
        <v>1</v>
      </c>
      <c r="F374" s="604" t="s">
        <v>762</v>
      </c>
      <c r="G374" s="606" t="s">
        <v>408</v>
      </c>
      <c r="H374" s="605" t="s">
        <v>1975</v>
      </c>
      <c r="I374" s="544">
        <v>3</v>
      </c>
      <c r="J374" s="604" t="s">
        <v>1975</v>
      </c>
      <c r="K374" s="604" t="s">
        <v>373</v>
      </c>
      <c r="L374" s="604">
        <v>0</v>
      </c>
      <c r="M374" s="604">
        <v>0</v>
      </c>
    </row>
    <row r="375" spans="1:13" s="92" customFormat="1" ht="12.75">
      <c r="A375" s="599">
        <v>193</v>
      </c>
      <c r="B375" s="604" t="s">
        <v>763</v>
      </c>
      <c r="C375" s="605" t="s">
        <v>761</v>
      </c>
      <c r="D375" s="605">
        <v>1</v>
      </c>
      <c r="E375" s="605">
        <v>1</v>
      </c>
      <c r="F375" s="604" t="s">
        <v>762</v>
      </c>
      <c r="G375" s="606" t="s">
        <v>408</v>
      </c>
      <c r="H375" s="605" t="s">
        <v>1975</v>
      </c>
      <c r="I375" s="544">
        <v>16</v>
      </c>
      <c r="J375" s="604" t="s">
        <v>1975</v>
      </c>
      <c r="K375" s="604" t="s">
        <v>373</v>
      </c>
      <c r="L375" s="604">
        <v>0</v>
      </c>
      <c r="M375" s="604">
        <v>0</v>
      </c>
    </row>
    <row r="376" spans="1:13" s="92" customFormat="1" ht="12.75">
      <c r="A376" s="599">
        <v>194</v>
      </c>
      <c r="B376" s="604" t="s">
        <v>764</v>
      </c>
      <c r="C376" s="605" t="s">
        <v>761</v>
      </c>
      <c r="D376" s="605">
        <v>1</v>
      </c>
      <c r="E376" s="605">
        <v>1</v>
      </c>
      <c r="F376" s="604" t="s">
        <v>762</v>
      </c>
      <c r="G376" s="606" t="s">
        <v>408</v>
      </c>
      <c r="H376" s="605" t="s">
        <v>1975</v>
      </c>
      <c r="I376" s="544">
        <v>15</v>
      </c>
      <c r="J376" s="604" t="s">
        <v>1975</v>
      </c>
      <c r="K376" s="604" t="s">
        <v>373</v>
      </c>
      <c r="L376" s="604">
        <v>0</v>
      </c>
      <c r="M376" s="604">
        <v>0</v>
      </c>
    </row>
    <row r="377" spans="1:13" s="92" customFormat="1" ht="25.5">
      <c r="A377" s="599">
        <v>195</v>
      </c>
      <c r="B377" s="604" t="s">
        <v>765</v>
      </c>
      <c r="C377" s="605" t="s">
        <v>761</v>
      </c>
      <c r="D377" s="605">
        <v>1</v>
      </c>
      <c r="E377" s="605">
        <v>1</v>
      </c>
      <c r="F377" s="604" t="s">
        <v>762</v>
      </c>
      <c r="G377" s="606" t="s">
        <v>408</v>
      </c>
      <c r="H377" s="605" t="s">
        <v>1975</v>
      </c>
      <c r="I377" s="544">
        <v>3</v>
      </c>
      <c r="J377" s="604" t="s">
        <v>1975</v>
      </c>
      <c r="K377" s="604" t="s">
        <v>373</v>
      </c>
      <c r="L377" s="604">
        <v>0</v>
      </c>
      <c r="M377" s="604">
        <v>0</v>
      </c>
    </row>
    <row r="378" spans="1:13" s="92" customFormat="1" ht="25.5">
      <c r="A378" s="599">
        <v>196</v>
      </c>
      <c r="B378" s="604" t="s">
        <v>766</v>
      </c>
      <c r="C378" s="605" t="s">
        <v>761</v>
      </c>
      <c r="D378" s="605">
        <v>1</v>
      </c>
      <c r="E378" s="605">
        <v>1</v>
      </c>
      <c r="F378" s="604" t="s">
        <v>762</v>
      </c>
      <c r="G378" s="606" t="s">
        <v>408</v>
      </c>
      <c r="H378" s="605" t="s">
        <v>1975</v>
      </c>
      <c r="I378" s="544">
        <v>3</v>
      </c>
      <c r="J378" s="604" t="s">
        <v>1975</v>
      </c>
      <c r="K378" s="604" t="s">
        <v>373</v>
      </c>
      <c r="L378" s="604">
        <v>0</v>
      </c>
      <c r="M378" s="604">
        <v>0</v>
      </c>
    </row>
    <row r="379" spans="1:13" s="92" customFormat="1" ht="25.5">
      <c r="A379" s="599">
        <v>197</v>
      </c>
      <c r="B379" s="604" t="s">
        <v>767</v>
      </c>
      <c r="C379" s="605" t="s">
        <v>761</v>
      </c>
      <c r="D379" s="605">
        <v>1</v>
      </c>
      <c r="E379" s="605">
        <v>1</v>
      </c>
      <c r="F379" s="604" t="s">
        <v>768</v>
      </c>
      <c r="G379" s="606" t="s">
        <v>769</v>
      </c>
      <c r="H379" s="605" t="s">
        <v>1975</v>
      </c>
      <c r="I379" s="544">
        <v>6</v>
      </c>
      <c r="J379" s="604" t="s">
        <v>1975</v>
      </c>
      <c r="K379" s="604" t="s">
        <v>373</v>
      </c>
      <c r="L379" s="604">
        <v>0</v>
      </c>
      <c r="M379" s="604">
        <v>0</v>
      </c>
    </row>
    <row r="380" spans="1:13" s="92" customFormat="1" ht="25.5">
      <c r="A380" s="599">
        <v>198</v>
      </c>
      <c r="B380" s="604" t="s">
        <v>770</v>
      </c>
      <c r="C380" s="605" t="s">
        <v>761</v>
      </c>
      <c r="D380" s="605">
        <v>1</v>
      </c>
      <c r="E380" s="605">
        <v>1</v>
      </c>
      <c r="F380" s="604" t="s">
        <v>762</v>
      </c>
      <c r="G380" s="606" t="s">
        <v>408</v>
      </c>
      <c r="H380" s="605" t="s">
        <v>1975</v>
      </c>
      <c r="I380" s="544">
        <v>6</v>
      </c>
      <c r="J380" s="604" t="s">
        <v>1975</v>
      </c>
      <c r="K380" s="604" t="s">
        <v>373</v>
      </c>
      <c r="L380" s="604">
        <v>0</v>
      </c>
      <c r="M380" s="604">
        <v>0</v>
      </c>
    </row>
    <row r="381" spans="1:13" s="92" customFormat="1" ht="25.5">
      <c r="A381" s="599">
        <v>199</v>
      </c>
      <c r="B381" s="604" t="s">
        <v>771</v>
      </c>
      <c r="C381" s="605" t="s">
        <v>1860</v>
      </c>
      <c r="D381" s="605">
        <v>1</v>
      </c>
      <c r="E381" s="605">
        <v>1</v>
      </c>
      <c r="F381" s="604" t="s">
        <v>755</v>
      </c>
      <c r="G381" s="606" t="s">
        <v>512</v>
      </c>
      <c r="H381" s="605" t="s">
        <v>1975</v>
      </c>
      <c r="I381" s="544">
        <v>52</v>
      </c>
      <c r="J381" s="604" t="s">
        <v>1975</v>
      </c>
      <c r="K381" s="604" t="s">
        <v>373</v>
      </c>
      <c r="L381" s="604">
        <v>0</v>
      </c>
      <c r="M381" s="604">
        <v>0</v>
      </c>
    </row>
    <row r="382" spans="1:13" s="92" customFormat="1" ht="25.5">
      <c r="A382" s="599">
        <v>200</v>
      </c>
      <c r="B382" s="604" t="s">
        <v>772</v>
      </c>
      <c r="C382" s="605" t="s">
        <v>761</v>
      </c>
      <c r="D382" s="605">
        <v>1</v>
      </c>
      <c r="E382" s="605">
        <v>1</v>
      </c>
      <c r="F382" s="604" t="s">
        <v>762</v>
      </c>
      <c r="G382" s="606" t="s">
        <v>408</v>
      </c>
      <c r="H382" s="605" t="s">
        <v>1975</v>
      </c>
      <c r="I382" s="544">
        <v>16</v>
      </c>
      <c r="J382" s="604" t="s">
        <v>1975</v>
      </c>
      <c r="K382" s="604" t="s">
        <v>373</v>
      </c>
      <c r="L382" s="604">
        <v>0</v>
      </c>
      <c r="M382" s="604">
        <v>0</v>
      </c>
    </row>
    <row r="383" spans="1:13" s="92" customFormat="1" ht="25.5">
      <c r="A383" s="599">
        <v>201</v>
      </c>
      <c r="B383" s="604" t="s">
        <v>773</v>
      </c>
      <c r="C383" s="605" t="s">
        <v>761</v>
      </c>
      <c r="D383" s="605">
        <v>1</v>
      </c>
      <c r="E383" s="605">
        <v>1</v>
      </c>
      <c r="F383" s="604" t="s">
        <v>762</v>
      </c>
      <c r="G383" s="606" t="s">
        <v>408</v>
      </c>
      <c r="H383" s="605" t="s">
        <v>1975</v>
      </c>
      <c r="I383" s="544">
        <v>6</v>
      </c>
      <c r="J383" s="604" t="s">
        <v>1975</v>
      </c>
      <c r="K383" s="604" t="s">
        <v>373</v>
      </c>
      <c r="L383" s="604">
        <v>0</v>
      </c>
      <c r="M383" s="604">
        <v>0</v>
      </c>
    </row>
    <row r="384" spans="1:13" s="92" customFormat="1" ht="25.5">
      <c r="A384" s="599">
        <v>202</v>
      </c>
      <c r="B384" s="604" t="s">
        <v>774</v>
      </c>
      <c r="C384" s="605" t="s">
        <v>761</v>
      </c>
      <c r="D384" s="605">
        <v>1</v>
      </c>
      <c r="E384" s="605">
        <v>1</v>
      </c>
      <c r="F384" s="604" t="s">
        <v>762</v>
      </c>
      <c r="G384" s="606" t="s">
        <v>408</v>
      </c>
      <c r="H384" s="605" t="s">
        <v>1975</v>
      </c>
      <c r="I384" s="544">
        <v>0</v>
      </c>
      <c r="J384" s="604" t="s">
        <v>1975</v>
      </c>
      <c r="K384" s="604" t="s">
        <v>373</v>
      </c>
      <c r="L384" s="604">
        <v>0</v>
      </c>
      <c r="M384" s="604">
        <v>0</v>
      </c>
    </row>
    <row r="385" spans="1:13" s="92" customFormat="1" ht="25.5">
      <c r="A385" s="599">
        <v>203</v>
      </c>
      <c r="B385" s="604" t="s">
        <v>775</v>
      </c>
      <c r="C385" s="605" t="s">
        <v>761</v>
      </c>
      <c r="D385" s="605">
        <v>1</v>
      </c>
      <c r="E385" s="605">
        <v>1</v>
      </c>
      <c r="F385" s="604" t="s">
        <v>762</v>
      </c>
      <c r="G385" s="606" t="s">
        <v>408</v>
      </c>
      <c r="H385" s="605" t="s">
        <v>1975</v>
      </c>
      <c r="I385" s="544">
        <v>10</v>
      </c>
      <c r="J385" s="604" t="s">
        <v>1975</v>
      </c>
      <c r="K385" s="604" t="s">
        <v>373</v>
      </c>
      <c r="L385" s="604">
        <v>0</v>
      </c>
      <c r="M385" s="604">
        <v>0</v>
      </c>
    </row>
    <row r="386" spans="1:13" s="92" customFormat="1" ht="25.5">
      <c r="A386" s="599">
        <v>204</v>
      </c>
      <c r="B386" s="604" t="s">
        <v>776</v>
      </c>
      <c r="C386" s="605" t="s">
        <v>761</v>
      </c>
      <c r="D386" s="605">
        <v>1</v>
      </c>
      <c r="E386" s="605">
        <v>1</v>
      </c>
      <c r="F386" s="604" t="s">
        <v>762</v>
      </c>
      <c r="G386" s="606" t="s">
        <v>408</v>
      </c>
      <c r="H386" s="605" t="s">
        <v>1975</v>
      </c>
      <c r="I386" s="544">
        <v>3</v>
      </c>
      <c r="J386" s="604" t="s">
        <v>1975</v>
      </c>
      <c r="K386" s="604" t="s">
        <v>373</v>
      </c>
      <c r="L386" s="604">
        <v>0</v>
      </c>
      <c r="M386" s="604">
        <v>0</v>
      </c>
    </row>
    <row r="387" spans="1:13" s="92" customFormat="1" ht="25.5">
      <c r="A387" s="599">
        <v>205</v>
      </c>
      <c r="B387" s="604" t="s">
        <v>777</v>
      </c>
      <c r="C387" s="605" t="s">
        <v>761</v>
      </c>
      <c r="D387" s="605">
        <v>1</v>
      </c>
      <c r="E387" s="605">
        <v>1</v>
      </c>
      <c r="F387" s="604" t="s">
        <v>768</v>
      </c>
      <c r="G387" s="606" t="s">
        <v>769</v>
      </c>
      <c r="H387" s="605" t="s">
        <v>1975</v>
      </c>
      <c r="I387" s="544">
        <v>1</v>
      </c>
      <c r="J387" s="604" t="s">
        <v>1975</v>
      </c>
      <c r="K387" s="604" t="s">
        <v>373</v>
      </c>
      <c r="L387" s="604">
        <v>0</v>
      </c>
      <c r="M387" s="604">
        <v>0</v>
      </c>
    </row>
    <row r="388" spans="1:13" s="92" customFormat="1" ht="25.5">
      <c r="A388" s="599">
        <v>206</v>
      </c>
      <c r="B388" s="604" t="s">
        <v>778</v>
      </c>
      <c r="C388" s="605" t="s">
        <v>761</v>
      </c>
      <c r="D388" s="605">
        <v>1</v>
      </c>
      <c r="E388" s="605">
        <v>1</v>
      </c>
      <c r="F388" s="604" t="s">
        <v>768</v>
      </c>
      <c r="G388" s="606" t="s">
        <v>769</v>
      </c>
      <c r="H388" s="605" t="s">
        <v>1975</v>
      </c>
      <c r="I388" s="544">
        <v>1</v>
      </c>
      <c r="J388" s="604" t="s">
        <v>1975</v>
      </c>
      <c r="K388" s="604" t="s">
        <v>373</v>
      </c>
      <c r="L388" s="604">
        <v>0</v>
      </c>
      <c r="M388" s="604">
        <v>0</v>
      </c>
    </row>
    <row r="389" spans="1:13" s="92" customFormat="1" ht="25.5">
      <c r="A389" s="599">
        <v>207</v>
      </c>
      <c r="B389" s="604" t="s">
        <v>779</v>
      </c>
      <c r="C389" s="605" t="s">
        <v>761</v>
      </c>
      <c r="D389" s="605">
        <v>1</v>
      </c>
      <c r="E389" s="605">
        <v>1</v>
      </c>
      <c r="F389" s="604" t="s">
        <v>768</v>
      </c>
      <c r="G389" s="606" t="s">
        <v>769</v>
      </c>
      <c r="H389" s="605" t="s">
        <v>1975</v>
      </c>
      <c r="I389" s="544">
        <v>1</v>
      </c>
      <c r="J389" s="604" t="s">
        <v>1975</v>
      </c>
      <c r="K389" s="604" t="s">
        <v>373</v>
      </c>
      <c r="L389" s="604">
        <v>0</v>
      </c>
      <c r="M389" s="604">
        <v>0</v>
      </c>
    </row>
    <row r="390" spans="1:13" s="92" customFormat="1" ht="25.5">
      <c r="A390" s="599">
        <v>208</v>
      </c>
      <c r="B390" s="604" t="s">
        <v>780</v>
      </c>
      <c r="C390" s="605" t="s">
        <v>761</v>
      </c>
      <c r="D390" s="605">
        <v>1</v>
      </c>
      <c r="E390" s="605">
        <v>1</v>
      </c>
      <c r="F390" s="604" t="s">
        <v>781</v>
      </c>
      <c r="G390" s="606" t="s">
        <v>782</v>
      </c>
      <c r="H390" s="605" t="s">
        <v>1975</v>
      </c>
      <c r="I390" s="544">
        <v>3</v>
      </c>
      <c r="J390" s="604" t="s">
        <v>1975</v>
      </c>
      <c r="K390" s="604" t="s">
        <v>373</v>
      </c>
      <c r="L390" s="604">
        <v>0</v>
      </c>
      <c r="M390" s="604">
        <v>0</v>
      </c>
    </row>
    <row r="391" spans="1:13" s="92" customFormat="1" ht="25.5">
      <c r="A391" s="599">
        <v>209</v>
      </c>
      <c r="B391" s="604" t="s">
        <v>783</v>
      </c>
      <c r="C391" s="605" t="s">
        <v>761</v>
      </c>
      <c r="D391" s="605">
        <v>1</v>
      </c>
      <c r="E391" s="605">
        <v>1</v>
      </c>
      <c r="F391" s="604" t="s">
        <v>781</v>
      </c>
      <c r="G391" s="606" t="s">
        <v>782</v>
      </c>
      <c r="H391" s="605" t="s">
        <v>1975</v>
      </c>
      <c r="I391" s="544">
        <v>1</v>
      </c>
      <c r="J391" s="604" t="s">
        <v>1975</v>
      </c>
      <c r="K391" s="604" t="s">
        <v>373</v>
      </c>
      <c r="L391" s="604">
        <v>0</v>
      </c>
      <c r="M391" s="604">
        <v>0</v>
      </c>
    </row>
    <row r="392" spans="1:13" s="92" customFormat="1" ht="25.5">
      <c r="A392" s="599">
        <v>210</v>
      </c>
      <c r="B392" s="604" t="s">
        <v>784</v>
      </c>
      <c r="C392" s="605" t="s">
        <v>761</v>
      </c>
      <c r="D392" s="605">
        <v>1</v>
      </c>
      <c r="E392" s="605">
        <v>1</v>
      </c>
      <c r="F392" s="604" t="s">
        <v>781</v>
      </c>
      <c r="G392" s="606" t="s">
        <v>782</v>
      </c>
      <c r="H392" s="605" t="s">
        <v>1975</v>
      </c>
      <c r="I392" s="544">
        <v>3</v>
      </c>
      <c r="J392" s="604" t="s">
        <v>1975</v>
      </c>
      <c r="K392" s="604" t="s">
        <v>373</v>
      </c>
      <c r="L392" s="604">
        <v>0</v>
      </c>
      <c r="M392" s="604">
        <v>0</v>
      </c>
    </row>
    <row r="393" spans="1:13" s="92" customFormat="1" ht="25.5">
      <c r="A393" s="599">
        <v>211</v>
      </c>
      <c r="B393" s="604" t="s">
        <v>785</v>
      </c>
      <c r="C393" s="605" t="s">
        <v>761</v>
      </c>
      <c r="D393" s="605">
        <v>1</v>
      </c>
      <c r="E393" s="605">
        <v>1</v>
      </c>
      <c r="F393" s="604" t="s">
        <v>781</v>
      </c>
      <c r="G393" s="606" t="s">
        <v>782</v>
      </c>
      <c r="H393" s="605" t="s">
        <v>1975</v>
      </c>
      <c r="I393" s="544">
        <v>6</v>
      </c>
      <c r="J393" s="604" t="s">
        <v>1975</v>
      </c>
      <c r="K393" s="604" t="s">
        <v>373</v>
      </c>
      <c r="L393" s="604">
        <v>0</v>
      </c>
      <c r="M393" s="604">
        <v>0</v>
      </c>
    </row>
    <row r="394" spans="1:13" s="92" customFormat="1" ht="25.5">
      <c r="A394" s="599">
        <v>212</v>
      </c>
      <c r="B394" s="604" t="s">
        <v>786</v>
      </c>
      <c r="C394" s="605" t="s">
        <v>761</v>
      </c>
      <c r="D394" s="605">
        <v>1</v>
      </c>
      <c r="E394" s="605">
        <v>1</v>
      </c>
      <c r="F394" s="604" t="s">
        <v>762</v>
      </c>
      <c r="G394" s="606" t="s">
        <v>408</v>
      </c>
      <c r="H394" s="605" t="s">
        <v>1975</v>
      </c>
      <c r="I394" s="544">
        <v>3</v>
      </c>
      <c r="J394" s="604" t="s">
        <v>1975</v>
      </c>
      <c r="K394" s="604" t="s">
        <v>373</v>
      </c>
      <c r="L394" s="604">
        <v>0</v>
      </c>
      <c r="M394" s="604">
        <v>0</v>
      </c>
    </row>
    <row r="395" spans="1:13" s="92" customFormat="1" ht="25.5">
      <c r="A395" s="599">
        <v>213</v>
      </c>
      <c r="B395" s="604" t="s">
        <v>787</v>
      </c>
      <c r="C395" s="605" t="s">
        <v>761</v>
      </c>
      <c r="D395" s="605">
        <v>1</v>
      </c>
      <c r="E395" s="605">
        <v>1</v>
      </c>
      <c r="F395" s="604" t="s">
        <v>781</v>
      </c>
      <c r="G395" s="606" t="s">
        <v>782</v>
      </c>
      <c r="H395" s="605" t="s">
        <v>1975</v>
      </c>
      <c r="I395" s="544">
        <v>0</v>
      </c>
      <c r="J395" s="604" t="s">
        <v>1975</v>
      </c>
      <c r="K395" s="604" t="s">
        <v>373</v>
      </c>
      <c r="L395" s="604">
        <v>0</v>
      </c>
      <c r="M395" s="604">
        <v>0</v>
      </c>
    </row>
    <row r="396" spans="1:13" s="92" customFormat="1" ht="25.5">
      <c r="A396" s="599">
        <v>214</v>
      </c>
      <c r="B396" s="604" t="s">
        <v>788</v>
      </c>
      <c r="C396" s="605" t="s">
        <v>761</v>
      </c>
      <c r="D396" s="605">
        <v>1</v>
      </c>
      <c r="E396" s="605">
        <v>1</v>
      </c>
      <c r="F396" s="604" t="s">
        <v>781</v>
      </c>
      <c r="G396" s="606" t="s">
        <v>782</v>
      </c>
      <c r="H396" s="605" t="s">
        <v>1975</v>
      </c>
      <c r="I396" s="544">
        <v>0</v>
      </c>
      <c r="J396" s="604" t="s">
        <v>1975</v>
      </c>
      <c r="K396" s="604" t="s">
        <v>373</v>
      </c>
      <c r="L396" s="604">
        <v>0</v>
      </c>
      <c r="M396" s="604">
        <v>0</v>
      </c>
    </row>
    <row r="397" spans="1:13" s="92" customFormat="1" ht="12.75" customHeight="1">
      <c r="A397" s="1556">
        <v>215</v>
      </c>
      <c r="B397" s="1553" t="s">
        <v>789</v>
      </c>
      <c r="C397" s="1557" t="s">
        <v>1977</v>
      </c>
      <c r="D397" s="1557">
        <v>1</v>
      </c>
      <c r="E397" s="559" t="s">
        <v>1978</v>
      </c>
      <c r="F397" s="560" t="s">
        <v>511</v>
      </c>
      <c r="G397" s="561" t="s">
        <v>512</v>
      </c>
      <c r="H397" s="1557" t="s">
        <v>1975</v>
      </c>
      <c r="I397" s="1563">
        <v>232</v>
      </c>
      <c r="J397" s="1557" t="s">
        <v>1975</v>
      </c>
      <c r="K397" s="1565" t="s">
        <v>373</v>
      </c>
      <c r="L397" s="1567">
        <v>0</v>
      </c>
      <c r="M397" s="1567">
        <v>0</v>
      </c>
    </row>
    <row r="398" spans="1:13" s="92" customFormat="1" ht="12.75">
      <c r="A398" s="1550"/>
      <c r="B398" s="1554"/>
      <c r="C398" s="1558"/>
      <c r="D398" s="1558"/>
      <c r="E398" s="568"/>
      <c r="F398" s="569" t="s">
        <v>514</v>
      </c>
      <c r="G398" s="570"/>
      <c r="H398" s="1558"/>
      <c r="I398" s="1564"/>
      <c r="J398" s="1558"/>
      <c r="K398" s="1566"/>
      <c r="L398" s="1568"/>
      <c r="M398" s="1568"/>
    </row>
    <row r="399" spans="1:13" s="92" customFormat="1" ht="25.5">
      <c r="A399" s="599">
        <v>216</v>
      </c>
      <c r="B399" s="604" t="s">
        <v>790</v>
      </c>
      <c r="C399" s="605" t="s">
        <v>761</v>
      </c>
      <c r="D399" s="605">
        <v>1</v>
      </c>
      <c r="E399" s="605">
        <v>1</v>
      </c>
      <c r="F399" s="604" t="s">
        <v>781</v>
      </c>
      <c r="G399" s="606" t="s">
        <v>782</v>
      </c>
      <c r="H399" s="605" t="s">
        <v>1975</v>
      </c>
      <c r="I399" s="544">
        <v>1</v>
      </c>
      <c r="J399" s="604" t="s">
        <v>1975</v>
      </c>
      <c r="K399" s="604" t="s">
        <v>373</v>
      </c>
      <c r="L399" s="604">
        <v>0</v>
      </c>
      <c r="M399" s="604">
        <v>0</v>
      </c>
    </row>
    <row r="400" spans="1:13" s="92" customFormat="1" ht="25.5">
      <c r="A400" s="567">
        <v>217</v>
      </c>
      <c r="B400" s="604" t="s">
        <v>791</v>
      </c>
      <c r="C400" s="605" t="s">
        <v>1860</v>
      </c>
      <c r="D400" s="605">
        <v>1</v>
      </c>
      <c r="E400" s="605">
        <v>1</v>
      </c>
      <c r="F400" s="604" t="s">
        <v>781</v>
      </c>
      <c r="G400" s="606" t="s">
        <v>782</v>
      </c>
      <c r="H400" s="605" t="s">
        <v>1975</v>
      </c>
      <c r="I400" s="544">
        <v>0</v>
      </c>
      <c r="J400" s="604" t="s">
        <v>1975</v>
      </c>
      <c r="K400" s="604" t="s">
        <v>373</v>
      </c>
      <c r="L400" s="604">
        <v>0</v>
      </c>
      <c r="M400" s="604">
        <v>0</v>
      </c>
    </row>
    <row r="401" spans="1:13" s="92" customFormat="1" ht="25.5">
      <c r="A401" s="599">
        <v>218</v>
      </c>
      <c r="B401" s="604" t="s">
        <v>792</v>
      </c>
      <c r="C401" s="605" t="s">
        <v>761</v>
      </c>
      <c r="D401" s="605">
        <v>1</v>
      </c>
      <c r="E401" s="605">
        <v>1</v>
      </c>
      <c r="F401" s="604" t="s">
        <v>768</v>
      </c>
      <c r="G401" s="606" t="s">
        <v>769</v>
      </c>
      <c r="H401" s="605" t="s">
        <v>1975</v>
      </c>
      <c r="I401" s="544">
        <v>4</v>
      </c>
      <c r="J401" s="604" t="s">
        <v>1975</v>
      </c>
      <c r="K401" s="604" t="s">
        <v>373</v>
      </c>
      <c r="L401" s="604">
        <v>0</v>
      </c>
      <c r="M401" s="604">
        <v>0</v>
      </c>
    </row>
    <row r="402" spans="1:13" ht="25.5" customHeight="1">
      <c r="A402" s="604"/>
      <c r="B402" s="604" t="s">
        <v>1681</v>
      </c>
      <c r="C402" s="607"/>
      <c r="D402" s="607"/>
      <c r="E402" s="607"/>
      <c r="F402" s="607"/>
      <c r="G402" s="608"/>
      <c r="H402" s="609"/>
      <c r="I402" s="610">
        <f>SUM(I16:I401)</f>
        <v>5033169</v>
      </c>
      <c r="J402" s="609"/>
      <c r="K402" s="609"/>
      <c r="L402" s="609"/>
      <c r="M402" s="609"/>
    </row>
    <row r="403" spans="1:13" ht="12.75">
      <c r="A403" s="590"/>
      <c r="B403" s="611"/>
      <c r="C403" s="611"/>
      <c r="D403" s="611"/>
      <c r="E403" s="611"/>
      <c r="F403" s="611"/>
      <c r="G403" s="611"/>
      <c r="H403" s="611"/>
      <c r="I403" s="611"/>
      <c r="J403" s="611"/>
      <c r="K403" s="611"/>
      <c r="L403" s="611"/>
      <c r="M403" s="611"/>
    </row>
    <row r="404" spans="1:13" ht="12.75" customHeight="1">
      <c r="A404" s="1559"/>
      <c r="B404" s="1560"/>
      <c r="C404" s="1560"/>
      <c r="D404" s="1560"/>
      <c r="E404" s="1560"/>
      <c r="F404" s="1560"/>
      <c r="G404" s="1560"/>
      <c r="H404" s="1560"/>
      <c r="I404" s="1560"/>
      <c r="J404" s="1560"/>
      <c r="K404" s="1560"/>
      <c r="L404" s="1560"/>
      <c r="M404" s="1560"/>
    </row>
    <row r="405" spans="1:13" ht="12.75">
      <c r="A405" s="612"/>
      <c r="B405" s="613"/>
      <c r="C405" s="613"/>
      <c r="D405" s="613"/>
      <c r="E405" s="613"/>
      <c r="F405" s="613"/>
      <c r="G405" s="613"/>
      <c r="H405" s="613"/>
      <c r="I405" s="613"/>
      <c r="J405" s="613"/>
      <c r="K405" s="613"/>
      <c r="L405" s="613"/>
      <c r="M405" s="613"/>
    </row>
    <row r="406" spans="1:13" ht="12.75">
      <c r="A406" s="1561" t="s">
        <v>8</v>
      </c>
      <c r="B406" s="1562"/>
      <c r="C406" s="1562"/>
      <c r="D406" s="1562"/>
      <c r="E406" s="1562"/>
      <c r="F406" s="1562"/>
      <c r="G406" s="1562"/>
      <c r="H406" s="1562"/>
      <c r="I406" s="1562"/>
      <c r="J406" s="1562"/>
      <c r="K406" s="1562"/>
      <c r="L406" s="1562"/>
      <c r="M406" s="1562"/>
    </row>
    <row r="407" spans="1:13" ht="13.5" customHeight="1">
      <c r="A407" s="1561" t="s">
        <v>7</v>
      </c>
      <c r="B407" s="1561"/>
      <c r="C407" s="1561"/>
      <c r="D407" s="1561"/>
      <c r="E407" s="1561"/>
      <c r="F407" s="1561"/>
      <c r="G407" s="1561"/>
      <c r="H407" s="1561"/>
      <c r="I407" s="1561"/>
      <c r="J407" s="611"/>
      <c r="K407" s="611"/>
      <c r="L407" s="611"/>
      <c r="M407" s="611"/>
    </row>
    <row r="408" ht="12.75">
      <c r="A408" s="93"/>
    </row>
    <row r="409" ht="12.75">
      <c r="A409" s="93"/>
    </row>
  </sheetData>
  <sheetProtection insertRows="0" deleteRows="0"/>
  <mergeCells count="47">
    <mergeCell ref="A404:M404"/>
    <mergeCell ref="A406:M406"/>
    <mergeCell ref="A407:I407"/>
    <mergeCell ref="H397:H398"/>
    <mergeCell ref="I397:I398"/>
    <mergeCell ref="J397:J398"/>
    <mergeCell ref="K397:K398"/>
    <mergeCell ref="L397:L398"/>
    <mergeCell ref="M397:M398"/>
    <mergeCell ref="G340:G341"/>
    <mergeCell ref="G342:G343"/>
    <mergeCell ref="G348:G349"/>
    <mergeCell ref="G352:G353"/>
    <mergeCell ref="A397:A398"/>
    <mergeCell ref="B397:B398"/>
    <mergeCell ref="C397:C398"/>
    <mergeCell ref="D397:D398"/>
    <mergeCell ref="G326:G327"/>
    <mergeCell ref="G328:G329"/>
    <mergeCell ref="G330:G331"/>
    <mergeCell ref="G332:G333"/>
    <mergeCell ref="G334:G335"/>
    <mergeCell ref="G336:G337"/>
    <mergeCell ref="G306:G307"/>
    <mergeCell ref="G312:G313"/>
    <mergeCell ref="G314:G315"/>
    <mergeCell ref="G318:G319"/>
    <mergeCell ref="G320:G321"/>
    <mergeCell ref="G324:G325"/>
    <mergeCell ref="G292:G293"/>
    <mergeCell ref="G294:G295"/>
    <mergeCell ref="G296:G297"/>
    <mergeCell ref="G298:G299"/>
    <mergeCell ref="G300:G301"/>
    <mergeCell ref="G304:G305"/>
    <mergeCell ref="B14:B15"/>
    <mergeCell ref="B16:B17"/>
    <mergeCell ref="B18:B19"/>
    <mergeCell ref="B20:B21"/>
    <mergeCell ref="G288:G289"/>
    <mergeCell ref="G290:G291"/>
    <mergeCell ref="A1:M1"/>
    <mergeCell ref="B4:B5"/>
    <mergeCell ref="B6:B7"/>
    <mergeCell ref="B8:B9"/>
    <mergeCell ref="B10:B11"/>
    <mergeCell ref="B12:B13"/>
  </mergeCells>
  <printOptions/>
  <pageMargins left="0.3937007874015748" right="0.2362204724409449" top="0.4724409448818898" bottom="0.2755905511811024" header="0.2755905511811024" footer="0.15748031496062992"/>
  <pageSetup fitToHeight="11" horizontalDpi="600" verticalDpi="600" orientation="landscape" paperSize="9" scale="71" r:id="rId1"/>
  <rowBreaks count="5" manualBreakCount="5">
    <brk id="111" max="12" man="1"/>
    <brk id="171" max="12" man="1"/>
    <brk id="231" max="12" man="1"/>
    <brk id="291" max="12" man="1"/>
    <brk id="351" max="12" man="1"/>
  </rowBreaks>
</worksheet>
</file>

<file path=xl/worksheets/sheet13.xml><?xml version="1.0" encoding="utf-8"?>
<worksheet xmlns="http://schemas.openxmlformats.org/spreadsheetml/2006/main" xmlns:r="http://schemas.openxmlformats.org/officeDocument/2006/relationships">
  <sheetPr>
    <tabColor indexed="20"/>
  </sheetPr>
  <dimension ref="A1:F33"/>
  <sheetViews>
    <sheetView view="pageBreakPreview" zoomScaleSheetLayoutView="100" zoomScalePageLayoutView="0" workbookViewId="0" topLeftCell="A1">
      <selection activeCell="E4" sqref="E4:E5"/>
    </sheetView>
  </sheetViews>
  <sheetFormatPr defaultColWidth="9.00390625" defaultRowHeight="12.75"/>
  <cols>
    <col min="1" max="1" width="4.375" style="95" customWidth="1"/>
    <col min="2" max="2" width="23.625" style="95" customWidth="1"/>
    <col min="3" max="3" width="22.625" style="95" customWidth="1"/>
    <col min="4" max="4" width="21.625" style="95" customWidth="1"/>
    <col min="5" max="5" width="28.25390625" style="95" customWidth="1"/>
    <col min="6" max="6" width="28.00390625" style="95" customWidth="1"/>
    <col min="7" max="16384" width="9.125" style="95" customWidth="1"/>
  </cols>
  <sheetData>
    <row r="1" spans="1:6" ht="39" customHeight="1">
      <c r="A1" s="1548" t="s">
        <v>9</v>
      </c>
      <c r="B1" s="1548"/>
      <c r="C1" s="1548"/>
      <c r="D1" s="1548"/>
      <c r="E1" s="1548"/>
      <c r="F1" s="1548"/>
    </row>
    <row r="2" spans="1:6" ht="81" customHeight="1">
      <c r="A2" s="1573" t="s">
        <v>2006</v>
      </c>
      <c r="B2" s="1574"/>
      <c r="C2" s="556" t="s">
        <v>683</v>
      </c>
      <c r="D2" s="556" t="s">
        <v>2007</v>
      </c>
      <c r="E2" s="556" t="s">
        <v>684</v>
      </c>
      <c r="F2" s="556" t="s">
        <v>685</v>
      </c>
    </row>
    <row r="3" spans="1:6" s="96" customFormat="1" ht="15" customHeight="1">
      <c r="A3" s="1573">
        <v>1</v>
      </c>
      <c r="B3" s="1573"/>
      <c r="C3" s="556">
        <v>2</v>
      </c>
      <c r="D3" s="556">
        <v>3</v>
      </c>
      <c r="E3" s="556">
        <v>4</v>
      </c>
      <c r="F3" s="556">
        <v>5</v>
      </c>
    </row>
    <row r="4" spans="1:6" ht="30" customHeight="1">
      <c r="A4" s="1569" t="s">
        <v>10</v>
      </c>
      <c r="B4" s="1569"/>
      <c r="C4" s="1572">
        <f>SUM(C8:C11)</f>
        <v>112</v>
      </c>
      <c r="D4" s="1572">
        <f>SUM(D8:D11)</f>
        <v>0</v>
      </c>
      <c r="E4" s="1572">
        <f>SUM(E8:E11)</f>
        <v>0</v>
      </c>
      <c r="F4" s="1572">
        <f>SUM(F8:F11)</f>
        <v>0</v>
      </c>
    </row>
    <row r="5" spans="1:6" ht="12.75" customHeight="1">
      <c r="A5" s="1569" t="s">
        <v>1744</v>
      </c>
      <c r="B5" s="1569"/>
      <c r="C5" s="1572"/>
      <c r="D5" s="1572"/>
      <c r="E5" s="1572"/>
      <c r="F5" s="1572"/>
    </row>
    <row r="6" spans="1:6" ht="12.75" customHeight="1">
      <c r="A6" s="1569" t="s">
        <v>2125</v>
      </c>
      <c r="B6" s="1569"/>
      <c r="C6" s="614">
        <v>0</v>
      </c>
      <c r="D6" s="614">
        <v>0</v>
      </c>
      <c r="E6" s="614">
        <v>0</v>
      </c>
      <c r="F6" s="614">
        <v>0</v>
      </c>
    </row>
    <row r="7" spans="1:6" ht="12.75" customHeight="1">
      <c r="A7" s="1570" t="s">
        <v>1739</v>
      </c>
      <c r="B7" s="1571"/>
      <c r="C7" s="614">
        <v>0</v>
      </c>
      <c r="D7" s="614">
        <v>0</v>
      </c>
      <c r="E7" s="614">
        <v>0</v>
      </c>
      <c r="F7" s="614">
        <v>0</v>
      </c>
    </row>
    <row r="8" spans="1:6" ht="12.75" customHeight="1">
      <c r="A8" s="1569" t="s">
        <v>1740</v>
      </c>
      <c r="B8" s="1569"/>
      <c r="C8" s="614">
        <v>15</v>
      </c>
      <c r="D8" s="614">
        <v>0</v>
      </c>
      <c r="E8" s="614">
        <v>0</v>
      </c>
      <c r="F8" s="614">
        <v>0</v>
      </c>
    </row>
    <row r="9" spans="1:6" ht="12.75" customHeight="1">
      <c r="A9" s="1569" t="s">
        <v>1741</v>
      </c>
      <c r="B9" s="1569"/>
      <c r="C9" s="614">
        <v>13</v>
      </c>
      <c r="D9" s="614">
        <v>0</v>
      </c>
      <c r="E9" s="614">
        <v>0</v>
      </c>
      <c r="F9" s="614">
        <v>0</v>
      </c>
    </row>
    <row r="10" spans="1:6" ht="12.75" customHeight="1">
      <c r="A10" s="1569" t="s">
        <v>1742</v>
      </c>
      <c r="B10" s="1569"/>
      <c r="C10" s="614">
        <v>81</v>
      </c>
      <c r="D10" s="614">
        <v>0</v>
      </c>
      <c r="E10" s="614">
        <v>0</v>
      </c>
      <c r="F10" s="614">
        <v>0</v>
      </c>
    </row>
    <row r="11" spans="1:6" ht="12.75" customHeight="1">
      <c r="A11" s="1569" t="s">
        <v>1743</v>
      </c>
      <c r="B11" s="1569"/>
      <c r="C11" s="614">
        <v>3</v>
      </c>
      <c r="D11" s="614">
        <v>0</v>
      </c>
      <c r="E11" s="614">
        <v>0</v>
      </c>
      <c r="F11" s="614">
        <v>0</v>
      </c>
    </row>
    <row r="12" spans="1:6" ht="28.5" customHeight="1">
      <c r="A12" s="1569" t="s">
        <v>11</v>
      </c>
      <c r="B12" s="1569"/>
      <c r="C12" s="1572">
        <f>SUM(C16:C20)</f>
        <v>2619</v>
      </c>
      <c r="D12" s="1572">
        <f>SUM(D16:D20)</f>
        <v>8</v>
      </c>
      <c r="E12" s="1572">
        <f>SUM(E16:E20)</f>
        <v>0</v>
      </c>
      <c r="F12" s="1572">
        <f>SUM(F16:F20)</f>
        <v>0</v>
      </c>
    </row>
    <row r="13" spans="1:6" ht="12.75" customHeight="1">
      <c r="A13" s="1569" t="s">
        <v>1744</v>
      </c>
      <c r="B13" s="1569"/>
      <c r="C13" s="1572"/>
      <c r="D13" s="1572"/>
      <c r="E13" s="1572"/>
      <c r="F13" s="1572"/>
    </row>
    <row r="14" spans="1:6" ht="12.75" customHeight="1">
      <c r="A14" s="1569" t="s">
        <v>2125</v>
      </c>
      <c r="B14" s="1569"/>
      <c r="C14" s="614">
        <v>0</v>
      </c>
      <c r="D14" s="614">
        <v>0</v>
      </c>
      <c r="E14" s="614">
        <v>0</v>
      </c>
      <c r="F14" s="614">
        <v>0</v>
      </c>
    </row>
    <row r="15" spans="1:6" ht="12.75" customHeight="1">
      <c r="A15" s="1570" t="s">
        <v>1739</v>
      </c>
      <c r="B15" s="1571"/>
      <c r="C15" s="614">
        <v>0</v>
      </c>
      <c r="D15" s="614">
        <v>0</v>
      </c>
      <c r="E15" s="614">
        <v>0</v>
      </c>
      <c r="F15" s="614">
        <v>0</v>
      </c>
    </row>
    <row r="16" spans="1:6" ht="12.75" customHeight="1">
      <c r="A16" s="1569" t="s">
        <v>1740</v>
      </c>
      <c r="B16" s="1569"/>
      <c r="C16" s="614">
        <v>15</v>
      </c>
      <c r="D16" s="614">
        <v>0</v>
      </c>
      <c r="E16" s="614">
        <v>0</v>
      </c>
      <c r="F16" s="614">
        <v>0</v>
      </c>
    </row>
    <row r="17" spans="1:6" ht="12.75" customHeight="1">
      <c r="A17" s="1569" t="s">
        <v>1741</v>
      </c>
      <c r="B17" s="1569"/>
      <c r="C17" s="614">
        <v>8</v>
      </c>
      <c r="D17" s="614">
        <v>0</v>
      </c>
      <c r="E17" s="614">
        <v>0</v>
      </c>
      <c r="F17" s="614">
        <v>0</v>
      </c>
    </row>
    <row r="18" spans="1:6" ht="12.75" customHeight="1">
      <c r="A18" s="1569" t="s">
        <v>1742</v>
      </c>
      <c r="B18" s="1569"/>
      <c r="C18" s="614">
        <v>274</v>
      </c>
      <c r="D18" s="614">
        <v>8</v>
      </c>
      <c r="E18" s="614">
        <v>0</v>
      </c>
      <c r="F18" s="614">
        <v>0</v>
      </c>
    </row>
    <row r="19" spans="1:6" ht="12.75" customHeight="1">
      <c r="A19" s="1569" t="s">
        <v>1743</v>
      </c>
      <c r="B19" s="1569"/>
      <c r="C19" s="614">
        <v>0</v>
      </c>
      <c r="D19" s="614">
        <v>0</v>
      </c>
      <c r="E19" s="614">
        <v>0</v>
      </c>
      <c r="F19" s="614">
        <v>0</v>
      </c>
    </row>
    <row r="20" spans="1:6" ht="12.75" customHeight="1">
      <c r="A20" s="1569" t="s">
        <v>1717</v>
      </c>
      <c r="B20" s="1569"/>
      <c r="C20" s="614">
        <v>2322</v>
      </c>
      <c r="D20" s="614">
        <v>0</v>
      </c>
      <c r="E20" s="614">
        <v>0</v>
      </c>
      <c r="F20" s="614">
        <v>0</v>
      </c>
    </row>
    <row r="21" spans="1:6" ht="12.75" customHeight="1">
      <c r="A21" s="97"/>
      <c r="B21" s="97"/>
      <c r="C21" s="97"/>
      <c r="D21" s="97"/>
      <c r="E21" s="97"/>
      <c r="F21" s="97"/>
    </row>
    <row r="22" spans="1:6" ht="12.75">
      <c r="A22" s="97"/>
      <c r="B22" s="97"/>
      <c r="C22" s="97"/>
      <c r="D22" s="97"/>
      <c r="E22" s="97"/>
      <c r="F22" s="97"/>
    </row>
    <row r="23" spans="1:6" ht="12.75">
      <c r="A23" s="97"/>
      <c r="B23" s="97"/>
      <c r="C23" s="97"/>
      <c r="D23" s="97"/>
      <c r="E23" s="97"/>
      <c r="F23" s="97"/>
    </row>
    <row r="24" spans="1:6" ht="12.75">
      <c r="A24" s="97"/>
      <c r="B24" s="97"/>
      <c r="C24" s="97"/>
      <c r="D24" s="97"/>
      <c r="E24" s="97"/>
      <c r="F24" s="97"/>
    </row>
    <row r="25" spans="1:6" ht="12.75">
      <c r="A25" s="97"/>
      <c r="B25" s="97"/>
      <c r="C25" s="97"/>
      <c r="D25" s="97"/>
      <c r="E25" s="97"/>
      <c r="F25" s="97"/>
    </row>
    <row r="26" spans="1:6" ht="12.75">
      <c r="A26" s="97"/>
      <c r="B26" s="97"/>
      <c r="C26" s="97"/>
      <c r="D26" s="97"/>
      <c r="E26" s="97"/>
      <c r="F26" s="97"/>
    </row>
    <row r="27" spans="1:6" ht="12.75">
      <c r="A27" s="97"/>
      <c r="B27" s="97"/>
      <c r="C27" s="97"/>
      <c r="D27" s="97"/>
      <c r="E27" s="97"/>
      <c r="F27" s="97"/>
    </row>
    <row r="28" spans="1:6" ht="12.75">
      <c r="A28" s="97"/>
      <c r="B28" s="97"/>
      <c r="C28" s="97"/>
      <c r="D28" s="97"/>
      <c r="E28" s="97"/>
      <c r="F28" s="97"/>
    </row>
    <row r="29" spans="1:6" ht="12.75">
      <c r="A29" s="97"/>
      <c r="B29" s="97"/>
      <c r="C29" s="97"/>
      <c r="D29" s="97"/>
      <c r="E29" s="97"/>
      <c r="F29" s="97"/>
    </row>
    <row r="30" spans="1:6" ht="12.75">
      <c r="A30" s="97"/>
      <c r="B30" s="97"/>
      <c r="C30" s="97"/>
      <c r="D30" s="97"/>
      <c r="E30" s="97"/>
      <c r="F30" s="97"/>
    </row>
    <row r="31" spans="1:6" ht="12.75">
      <c r="A31" s="97"/>
      <c r="B31" s="97"/>
      <c r="C31" s="97"/>
      <c r="D31" s="97"/>
      <c r="E31" s="97"/>
      <c r="F31" s="97"/>
    </row>
    <row r="32" spans="1:6" ht="12.75">
      <c r="A32" s="97"/>
      <c r="B32" s="97"/>
      <c r="C32" s="97"/>
      <c r="D32" s="97"/>
      <c r="E32" s="97"/>
      <c r="F32" s="97"/>
    </row>
    <row r="33" spans="1:6" ht="12.75">
      <c r="A33" s="97"/>
      <c r="B33" s="97"/>
      <c r="C33" s="97"/>
      <c r="D33" s="97"/>
      <c r="E33" s="97"/>
      <c r="F33" s="97"/>
    </row>
  </sheetData>
  <sheetProtection insertRows="0" deleteRows="0"/>
  <mergeCells count="28">
    <mergeCell ref="A1:F1"/>
    <mergeCell ref="A2:B2"/>
    <mergeCell ref="A3:B3"/>
    <mergeCell ref="A4:B4"/>
    <mergeCell ref="C4:C5"/>
    <mergeCell ref="D4:D5"/>
    <mergeCell ref="E4:E5"/>
    <mergeCell ref="F4:F5"/>
    <mergeCell ref="A5:B5"/>
    <mergeCell ref="A6:B6"/>
    <mergeCell ref="A7:B7"/>
    <mergeCell ref="A8:B8"/>
    <mergeCell ref="A9:B9"/>
    <mergeCell ref="A10:B10"/>
    <mergeCell ref="A11:B11"/>
    <mergeCell ref="A12:B12"/>
    <mergeCell ref="C12:C13"/>
    <mergeCell ref="D12:D13"/>
    <mergeCell ref="E12:E13"/>
    <mergeCell ref="F12:F13"/>
    <mergeCell ref="A13:B13"/>
    <mergeCell ref="A20:B20"/>
    <mergeCell ref="A14:B14"/>
    <mergeCell ref="A15:B15"/>
    <mergeCell ref="A16:B16"/>
    <mergeCell ref="A17:B17"/>
    <mergeCell ref="A18:B18"/>
    <mergeCell ref="A19:B19"/>
  </mergeCells>
  <printOptions/>
  <pageMargins left="1.5748031496062993" right="0.7874015748031497" top="0.984251968503937" bottom="0.984251968503937" header="0.5118110236220472" footer="0.5118110236220472"/>
  <pageSetup horizontalDpi="600" verticalDpi="600" orientation="landscape" paperSize="9" scale="83" r:id="rId1"/>
</worksheet>
</file>

<file path=xl/worksheets/sheet14.xml><?xml version="1.0" encoding="utf-8"?>
<worksheet xmlns="http://schemas.openxmlformats.org/spreadsheetml/2006/main" xmlns:r="http://schemas.openxmlformats.org/officeDocument/2006/relationships">
  <dimension ref="A1:H184"/>
  <sheetViews>
    <sheetView view="pageBreakPreview" zoomScaleSheetLayoutView="100" zoomScalePageLayoutView="0" workbookViewId="0" topLeftCell="A1">
      <pane ySplit="3" topLeftCell="A165" activePane="bottomLeft" state="frozen"/>
      <selection pane="topLeft" activeCell="N42" sqref="N42:S43"/>
      <selection pane="bottomLeft" activeCell="E2" sqref="E2"/>
    </sheetView>
  </sheetViews>
  <sheetFormatPr defaultColWidth="9.00390625" defaultRowHeight="12.75"/>
  <cols>
    <col min="1" max="1" width="5.25390625" style="98" customWidth="1"/>
    <col min="2" max="2" width="22.125" style="82" customWidth="1"/>
    <col min="3" max="3" width="13.75390625" style="82" customWidth="1"/>
    <col min="4" max="4" width="13.875" style="98" customWidth="1"/>
    <col min="5" max="5" width="14.375" style="82" customWidth="1"/>
    <col min="6" max="6" width="14.625" style="82" customWidth="1"/>
    <col min="7" max="7" width="29.625" style="82" customWidth="1"/>
    <col min="8" max="8" width="12.75390625" style="82" customWidth="1"/>
    <col min="9" max="16384" width="9.125" style="82" customWidth="1"/>
  </cols>
  <sheetData>
    <row r="1" spans="1:8" ht="35.25" customHeight="1">
      <c r="A1" s="1539" t="s">
        <v>12</v>
      </c>
      <c r="B1" s="1547"/>
      <c r="C1" s="1547"/>
      <c r="D1" s="1547"/>
      <c r="E1" s="1547"/>
      <c r="F1" s="1547"/>
      <c r="G1" s="1547"/>
      <c r="H1" s="1547"/>
    </row>
    <row r="2" spans="1:8" ht="65.25" customHeight="1">
      <c r="A2" s="538" t="s">
        <v>2082</v>
      </c>
      <c r="B2" s="530" t="s">
        <v>1748</v>
      </c>
      <c r="C2" s="530" t="s">
        <v>2145</v>
      </c>
      <c r="D2" s="538" t="s">
        <v>13</v>
      </c>
      <c r="E2" s="530" t="s">
        <v>1745</v>
      </c>
      <c r="F2" s="530" t="s">
        <v>1746</v>
      </c>
      <c r="G2" s="530" t="s">
        <v>14</v>
      </c>
      <c r="H2" s="530" t="s">
        <v>1747</v>
      </c>
    </row>
    <row r="3" spans="1:8" s="83" customFormat="1" ht="15.75">
      <c r="A3" s="615">
        <v>1</v>
      </c>
      <c r="B3" s="542">
        <v>2</v>
      </c>
      <c r="C3" s="542">
        <v>3</v>
      </c>
      <c r="D3" s="615">
        <v>4</v>
      </c>
      <c r="E3" s="542">
        <v>5</v>
      </c>
      <c r="F3" s="542">
        <v>6</v>
      </c>
      <c r="G3" s="542">
        <v>7</v>
      </c>
      <c r="H3" s="542">
        <v>8</v>
      </c>
    </row>
    <row r="4" spans="1:8" s="83" customFormat="1" ht="12.75">
      <c r="A4" s="616"/>
      <c r="B4" s="617" t="s">
        <v>2014</v>
      </c>
      <c r="C4" s="616"/>
      <c r="D4" s="616"/>
      <c r="E4" s="616"/>
      <c r="F4" s="616"/>
      <c r="G4" s="616"/>
      <c r="H4" s="618"/>
    </row>
    <row r="5" spans="1:8" ht="12.75">
      <c r="A5" s="616">
        <v>1</v>
      </c>
      <c r="B5" s="618" t="s">
        <v>2015</v>
      </c>
      <c r="C5" s="616" t="s">
        <v>2016</v>
      </c>
      <c r="D5" s="616">
        <v>1</v>
      </c>
      <c r="E5" s="616">
        <v>0.5</v>
      </c>
      <c r="F5" s="616" t="s">
        <v>1978</v>
      </c>
      <c r="G5" s="616" t="s">
        <v>1975</v>
      </c>
      <c r="H5" s="618"/>
    </row>
    <row r="6" spans="1:8" ht="12.75">
      <c r="A6" s="616">
        <v>2</v>
      </c>
      <c r="B6" s="618" t="s">
        <v>2017</v>
      </c>
      <c r="C6" s="616" t="s">
        <v>2016</v>
      </c>
      <c r="D6" s="616">
        <v>1</v>
      </c>
      <c r="E6" s="616">
        <v>0.5</v>
      </c>
      <c r="F6" s="616" t="s">
        <v>1978</v>
      </c>
      <c r="G6" s="616" t="s">
        <v>1975</v>
      </c>
      <c r="H6" s="618"/>
    </row>
    <row r="7" spans="1:8" ht="12.75">
      <c r="A7" s="616">
        <v>3</v>
      </c>
      <c r="B7" s="618" t="s">
        <v>2018</v>
      </c>
      <c r="C7" s="616" t="s">
        <v>2016</v>
      </c>
      <c r="D7" s="616">
        <v>1</v>
      </c>
      <c r="E7" s="616">
        <v>0.5</v>
      </c>
      <c r="F7" s="616" t="s">
        <v>1978</v>
      </c>
      <c r="G7" s="616" t="s">
        <v>1975</v>
      </c>
      <c r="H7" s="618"/>
    </row>
    <row r="8" spans="1:8" ht="12.75">
      <c r="A8" s="616">
        <v>4</v>
      </c>
      <c r="B8" s="618" t="s">
        <v>2019</v>
      </c>
      <c r="C8" s="616" t="s">
        <v>2016</v>
      </c>
      <c r="D8" s="616">
        <v>1</v>
      </c>
      <c r="E8" s="616">
        <v>0.5</v>
      </c>
      <c r="F8" s="616" t="s">
        <v>1978</v>
      </c>
      <c r="G8" s="616" t="s">
        <v>1975</v>
      </c>
      <c r="H8" s="618"/>
    </row>
    <row r="9" spans="1:8" ht="12.75">
      <c r="A9" s="616">
        <v>5</v>
      </c>
      <c r="B9" s="618" t="s">
        <v>1914</v>
      </c>
      <c r="C9" s="616" t="s">
        <v>2016</v>
      </c>
      <c r="D9" s="616">
        <v>1</v>
      </c>
      <c r="E9" s="616">
        <v>0.5</v>
      </c>
      <c r="F9" s="616" t="s">
        <v>1978</v>
      </c>
      <c r="G9" s="616" t="s">
        <v>1975</v>
      </c>
      <c r="H9" s="618"/>
    </row>
    <row r="10" spans="1:8" ht="12.75">
      <c r="A10" s="616">
        <v>6</v>
      </c>
      <c r="B10" s="618" t="s">
        <v>2020</v>
      </c>
      <c r="C10" s="616" t="s">
        <v>2016</v>
      </c>
      <c r="D10" s="616">
        <v>1</v>
      </c>
      <c r="E10" s="616">
        <v>0.5</v>
      </c>
      <c r="F10" s="616" t="s">
        <v>1978</v>
      </c>
      <c r="G10" s="616" t="s">
        <v>1975</v>
      </c>
      <c r="H10" s="618"/>
    </row>
    <row r="11" spans="1:8" ht="12.75">
      <c r="A11" s="616">
        <v>7</v>
      </c>
      <c r="B11" s="618" t="s">
        <v>2021</v>
      </c>
      <c r="C11" s="616" t="s">
        <v>2103</v>
      </c>
      <c r="D11" s="616">
        <v>1</v>
      </c>
      <c r="E11" s="616">
        <v>0.5</v>
      </c>
      <c r="F11" s="616" t="s">
        <v>1978</v>
      </c>
      <c r="G11" s="616" t="s">
        <v>1975</v>
      </c>
      <c r="H11" s="618"/>
    </row>
    <row r="12" spans="1:8" ht="12.75">
      <c r="A12" s="616"/>
      <c r="B12" s="617" t="s">
        <v>2022</v>
      </c>
      <c r="C12" s="616"/>
      <c r="D12" s="616"/>
      <c r="E12" s="616"/>
      <c r="F12" s="616"/>
      <c r="G12" s="616"/>
      <c r="H12" s="618"/>
    </row>
    <row r="13" spans="1:8" ht="12.75">
      <c r="A13" s="616">
        <v>1</v>
      </c>
      <c r="B13" s="618" t="s">
        <v>1706</v>
      </c>
      <c r="C13" s="616" t="s">
        <v>2016</v>
      </c>
      <c r="D13" s="616">
        <v>1</v>
      </c>
      <c r="E13" s="616">
        <v>0.5</v>
      </c>
      <c r="F13" s="616" t="s">
        <v>1978</v>
      </c>
      <c r="G13" s="616" t="s">
        <v>1975</v>
      </c>
      <c r="H13" s="618"/>
    </row>
    <row r="14" spans="1:8" ht="12.75">
      <c r="A14" s="616">
        <v>2</v>
      </c>
      <c r="B14" s="618" t="s">
        <v>1707</v>
      </c>
      <c r="C14" s="616" t="s">
        <v>2103</v>
      </c>
      <c r="D14" s="616">
        <v>1</v>
      </c>
      <c r="E14" s="616">
        <v>0.5</v>
      </c>
      <c r="F14" s="616" t="s">
        <v>1978</v>
      </c>
      <c r="G14" s="616" t="s">
        <v>1975</v>
      </c>
      <c r="H14" s="618"/>
    </row>
    <row r="15" spans="1:8" ht="12.75">
      <c r="A15" s="616"/>
      <c r="B15" s="617" t="s">
        <v>1976</v>
      </c>
      <c r="C15" s="616"/>
      <c r="D15" s="616"/>
      <c r="E15" s="616"/>
      <c r="F15" s="616"/>
      <c r="G15" s="616"/>
      <c r="H15" s="618"/>
    </row>
    <row r="16" spans="1:8" ht="12.75">
      <c r="A16" s="616">
        <v>1</v>
      </c>
      <c r="B16" s="618" t="s">
        <v>1706</v>
      </c>
      <c r="C16" s="616" t="s">
        <v>2103</v>
      </c>
      <c r="D16" s="616">
        <v>1</v>
      </c>
      <c r="E16" s="616">
        <v>0.5</v>
      </c>
      <c r="F16" s="616" t="s">
        <v>1978</v>
      </c>
      <c r="G16" s="616" t="s">
        <v>1975</v>
      </c>
      <c r="H16" s="618"/>
    </row>
    <row r="17" spans="1:8" ht="12.75">
      <c r="A17" s="616">
        <v>2</v>
      </c>
      <c r="B17" s="618" t="s">
        <v>1707</v>
      </c>
      <c r="C17" s="616" t="s">
        <v>2103</v>
      </c>
      <c r="D17" s="616">
        <v>1</v>
      </c>
      <c r="E17" s="616">
        <v>0.5</v>
      </c>
      <c r="F17" s="616" t="s">
        <v>1978</v>
      </c>
      <c r="G17" s="616" t="s">
        <v>1975</v>
      </c>
      <c r="H17" s="618"/>
    </row>
    <row r="18" spans="1:8" ht="12.75">
      <c r="A18" s="616">
        <v>3</v>
      </c>
      <c r="B18" s="618" t="s">
        <v>1708</v>
      </c>
      <c r="C18" s="616" t="s">
        <v>2103</v>
      </c>
      <c r="D18" s="616">
        <v>1</v>
      </c>
      <c r="E18" s="616">
        <v>0.5</v>
      </c>
      <c r="F18" s="616" t="s">
        <v>1978</v>
      </c>
      <c r="G18" s="616" t="s">
        <v>1975</v>
      </c>
      <c r="H18" s="618"/>
    </row>
    <row r="19" spans="1:8" ht="12.75">
      <c r="A19" s="616">
        <v>4</v>
      </c>
      <c r="B19" s="618" t="s">
        <v>1709</v>
      </c>
      <c r="C19" s="616" t="s">
        <v>2103</v>
      </c>
      <c r="D19" s="616">
        <v>1</v>
      </c>
      <c r="E19" s="616">
        <v>0.5</v>
      </c>
      <c r="F19" s="616" t="s">
        <v>1978</v>
      </c>
      <c r="G19" s="616" t="s">
        <v>1975</v>
      </c>
      <c r="H19" s="618"/>
    </row>
    <row r="20" spans="1:8" ht="12.75">
      <c r="A20" s="616">
        <v>5</v>
      </c>
      <c r="B20" s="618" t="s">
        <v>2023</v>
      </c>
      <c r="C20" s="616" t="s">
        <v>1977</v>
      </c>
      <c r="D20" s="616">
        <v>1</v>
      </c>
      <c r="E20" s="616">
        <v>1</v>
      </c>
      <c r="F20" s="616">
        <v>1</v>
      </c>
      <c r="G20" s="616" t="s">
        <v>1975</v>
      </c>
      <c r="H20" s="618"/>
    </row>
    <row r="21" spans="1:8" ht="12.75">
      <c r="A21" s="616">
        <v>6</v>
      </c>
      <c r="B21" s="618" t="s">
        <v>2024</v>
      </c>
      <c r="C21" s="616" t="s">
        <v>1977</v>
      </c>
      <c r="D21" s="616">
        <v>1</v>
      </c>
      <c r="E21" s="616">
        <v>1</v>
      </c>
      <c r="F21" s="616">
        <v>1</v>
      </c>
      <c r="G21" s="616" t="s">
        <v>1975</v>
      </c>
      <c r="H21" s="618"/>
    </row>
    <row r="22" spans="1:8" ht="12.75">
      <c r="A22" s="616">
        <v>7</v>
      </c>
      <c r="B22" s="618" t="s">
        <v>1710</v>
      </c>
      <c r="C22" s="616" t="s">
        <v>1977</v>
      </c>
      <c r="D22" s="616">
        <v>1</v>
      </c>
      <c r="E22" s="616">
        <v>1</v>
      </c>
      <c r="F22" s="616">
        <v>1</v>
      </c>
      <c r="G22" s="616" t="s">
        <v>1975</v>
      </c>
      <c r="H22" s="618"/>
    </row>
    <row r="23" spans="1:8" ht="12.75">
      <c r="A23" s="616">
        <v>8</v>
      </c>
      <c r="B23" s="618" t="s">
        <v>1711</v>
      </c>
      <c r="C23" s="616" t="s">
        <v>1977</v>
      </c>
      <c r="D23" s="616">
        <v>1</v>
      </c>
      <c r="E23" s="616">
        <v>1</v>
      </c>
      <c r="F23" s="616">
        <v>1</v>
      </c>
      <c r="G23" s="616" t="s">
        <v>1975</v>
      </c>
      <c r="H23" s="618"/>
    </row>
    <row r="24" spans="1:8" ht="12.75">
      <c r="A24" s="616">
        <v>9</v>
      </c>
      <c r="B24" s="618" t="s">
        <v>1712</v>
      </c>
      <c r="C24" s="616" t="s">
        <v>1977</v>
      </c>
      <c r="D24" s="616">
        <v>1</v>
      </c>
      <c r="E24" s="616">
        <v>1</v>
      </c>
      <c r="F24" s="616">
        <v>1</v>
      </c>
      <c r="G24" s="616" t="s">
        <v>1975</v>
      </c>
      <c r="H24" s="618"/>
    </row>
    <row r="25" spans="1:8" ht="12.75">
      <c r="A25" s="616"/>
      <c r="B25" s="617" t="s">
        <v>1976</v>
      </c>
      <c r="C25" s="616"/>
      <c r="D25" s="616"/>
      <c r="E25" s="616"/>
      <c r="F25" s="616"/>
      <c r="G25" s="616"/>
      <c r="H25" s="618"/>
    </row>
    <row r="26" spans="1:8" ht="12.75">
      <c r="A26" s="616">
        <v>1</v>
      </c>
      <c r="B26" s="618" t="s">
        <v>1706</v>
      </c>
      <c r="C26" s="616" t="s">
        <v>2103</v>
      </c>
      <c r="D26" s="616">
        <v>1</v>
      </c>
      <c r="E26" s="616">
        <v>0.5</v>
      </c>
      <c r="F26" s="616" t="s">
        <v>1978</v>
      </c>
      <c r="G26" s="616" t="s">
        <v>1975</v>
      </c>
      <c r="H26" s="618"/>
    </row>
    <row r="27" spans="1:8" ht="12.75">
      <c r="A27" s="616">
        <v>2</v>
      </c>
      <c r="B27" s="618" t="s">
        <v>1707</v>
      </c>
      <c r="C27" s="616" t="s">
        <v>2103</v>
      </c>
      <c r="D27" s="616">
        <v>1</v>
      </c>
      <c r="E27" s="616">
        <v>0.5</v>
      </c>
      <c r="F27" s="616" t="s">
        <v>1978</v>
      </c>
      <c r="G27" s="616" t="s">
        <v>1975</v>
      </c>
      <c r="H27" s="618"/>
    </row>
    <row r="28" spans="1:8" ht="12.75">
      <c r="A28" s="616">
        <v>3</v>
      </c>
      <c r="B28" s="618" t="s">
        <v>1915</v>
      </c>
      <c r="C28" s="616" t="s">
        <v>2103</v>
      </c>
      <c r="D28" s="616">
        <v>1</v>
      </c>
      <c r="E28" s="616">
        <v>0.5</v>
      </c>
      <c r="F28" s="616" t="s">
        <v>1978</v>
      </c>
      <c r="G28" s="616" t="s">
        <v>1975</v>
      </c>
      <c r="H28" s="618"/>
    </row>
    <row r="29" spans="1:8" ht="12.75">
      <c r="A29" s="616">
        <v>4</v>
      </c>
      <c r="B29" s="618" t="s">
        <v>1916</v>
      </c>
      <c r="C29" s="616" t="s">
        <v>2103</v>
      </c>
      <c r="D29" s="616">
        <v>1</v>
      </c>
      <c r="E29" s="616">
        <v>0.5</v>
      </c>
      <c r="F29" s="616" t="s">
        <v>1978</v>
      </c>
      <c r="G29" s="616" t="s">
        <v>1975</v>
      </c>
      <c r="H29" s="618"/>
    </row>
    <row r="30" spans="1:8" ht="12.75">
      <c r="A30" s="616">
        <v>5</v>
      </c>
      <c r="B30" s="618" t="s">
        <v>1713</v>
      </c>
      <c r="C30" s="616" t="s">
        <v>2103</v>
      </c>
      <c r="D30" s="616">
        <v>1</v>
      </c>
      <c r="E30" s="616">
        <v>0.5</v>
      </c>
      <c r="F30" s="616" t="s">
        <v>1978</v>
      </c>
      <c r="G30" s="616" t="s">
        <v>1975</v>
      </c>
      <c r="H30" s="618"/>
    </row>
    <row r="31" spans="1:8" ht="12.75">
      <c r="A31" s="616"/>
      <c r="B31" s="617" t="s">
        <v>2025</v>
      </c>
      <c r="C31" s="616"/>
      <c r="D31" s="616"/>
      <c r="E31" s="616"/>
      <c r="F31" s="616"/>
      <c r="G31" s="616"/>
      <c r="H31" s="618"/>
    </row>
    <row r="32" spans="1:8" ht="12.75">
      <c r="A32" s="616">
        <v>1</v>
      </c>
      <c r="B32" s="618" t="s">
        <v>2026</v>
      </c>
      <c r="C32" s="616" t="s">
        <v>1777</v>
      </c>
      <c r="D32" s="616">
        <v>1</v>
      </c>
      <c r="E32" s="616">
        <v>1</v>
      </c>
      <c r="F32" s="616" t="s">
        <v>1978</v>
      </c>
      <c r="G32" s="616" t="s">
        <v>1975</v>
      </c>
      <c r="H32" s="618"/>
    </row>
    <row r="33" spans="1:8" ht="12.75">
      <c r="A33" s="616"/>
      <c r="B33" s="617" t="s">
        <v>2027</v>
      </c>
      <c r="C33" s="616"/>
      <c r="D33" s="616"/>
      <c r="E33" s="616"/>
      <c r="F33" s="616"/>
      <c r="G33" s="616"/>
      <c r="H33" s="618"/>
    </row>
    <row r="34" spans="1:8" ht="12.75">
      <c r="A34" s="616">
        <v>1</v>
      </c>
      <c r="B34" s="618" t="s">
        <v>2026</v>
      </c>
      <c r="C34" s="616" t="s">
        <v>1777</v>
      </c>
      <c r="D34" s="616">
        <v>1</v>
      </c>
      <c r="E34" s="616">
        <v>1</v>
      </c>
      <c r="F34" s="616" t="s">
        <v>1978</v>
      </c>
      <c r="G34" s="616" t="s">
        <v>1975</v>
      </c>
      <c r="H34" s="618"/>
    </row>
    <row r="35" spans="1:8" ht="12.75">
      <c r="A35" s="616"/>
      <c r="B35" s="617" t="s">
        <v>2028</v>
      </c>
      <c r="C35" s="616"/>
      <c r="D35" s="616"/>
      <c r="E35" s="616"/>
      <c r="F35" s="616"/>
      <c r="G35" s="616"/>
      <c r="H35" s="618"/>
    </row>
    <row r="36" spans="1:8" ht="12.75">
      <c r="A36" s="616">
        <v>1</v>
      </c>
      <c r="B36" s="618" t="s">
        <v>2029</v>
      </c>
      <c r="C36" s="616" t="s">
        <v>1777</v>
      </c>
      <c r="D36" s="616">
        <v>1</v>
      </c>
      <c r="E36" s="616">
        <v>1</v>
      </c>
      <c r="F36" s="616" t="s">
        <v>1978</v>
      </c>
      <c r="G36" s="616" t="s">
        <v>1975</v>
      </c>
      <c r="H36" s="618"/>
    </row>
    <row r="37" spans="1:8" ht="12.75">
      <c r="A37" s="616"/>
      <c r="B37" s="617" t="s">
        <v>2030</v>
      </c>
      <c r="C37" s="616"/>
      <c r="D37" s="616"/>
      <c r="E37" s="616"/>
      <c r="F37" s="616"/>
      <c r="G37" s="616"/>
      <c r="H37" s="618"/>
    </row>
    <row r="38" spans="1:8" ht="12.75">
      <c r="A38" s="616">
        <v>1</v>
      </c>
      <c r="B38" s="618" t="s">
        <v>2031</v>
      </c>
      <c r="C38" s="616" t="s">
        <v>1777</v>
      </c>
      <c r="D38" s="616">
        <v>1</v>
      </c>
      <c r="E38" s="616">
        <v>1</v>
      </c>
      <c r="F38" s="616" t="s">
        <v>1978</v>
      </c>
      <c r="G38" s="616" t="s">
        <v>1975</v>
      </c>
      <c r="H38" s="618"/>
    </row>
    <row r="39" spans="1:8" ht="12.75">
      <c r="A39" s="616">
        <v>2</v>
      </c>
      <c r="B39" s="618" t="s">
        <v>2032</v>
      </c>
      <c r="C39" s="616" t="s">
        <v>1777</v>
      </c>
      <c r="D39" s="616">
        <v>1</v>
      </c>
      <c r="E39" s="616">
        <v>1</v>
      </c>
      <c r="F39" s="616" t="s">
        <v>1978</v>
      </c>
      <c r="G39" s="616" t="s">
        <v>1975</v>
      </c>
      <c r="H39" s="618"/>
    </row>
    <row r="40" spans="1:8" ht="12.75">
      <c r="A40" s="616">
        <v>3</v>
      </c>
      <c r="B40" s="618" t="s">
        <v>2023</v>
      </c>
      <c r="C40" s="616" t="s">
        <v>1977</v>
      </c>
      <c r="D40" s="616">
        <v>1</v>
      </c>
      <c r="E40" s="616">
        <v>1</v>
      </c>
      <c r="F40" s="616" t="s">
        <v>1978</v>
      </c>
      <c r="G40" s="616" t="s">
        <v>1975</v>
      </c>
      <c r="H40" s="618"/>
    </row>
    <row r="41" spans="1:8" ht="12.75">
      <c r="A41" s="616">
        <v>4</v>
      </c>
      <c r="B41" s="618" t="s">
        <v>2080</v>
      </c>
      <c r="C41" s="616" t="s">
        <v>1977</v>
      </c>
      <c r="D41" s="616">
        <v>1</v>
      </c>
      <c r="E41" s="616">
        <v>1</v>
      </c>
      <c r="F41" s="616" t="s">
        <v>1978</v>
      </c>
      <c r="G41" s="616" t="s">
        <v>1975</v>
      </c>
      <c r="H41" s="618"/>
    </row>
    <row r="42" spans="1:8" ht="12.75">
      <c r="A42" s="616"/>
      <c r="B42" s="617" t="s">
        <v>2033</v>
      </c>
      <c r="C42" s="616"/>
      <c r="D42" s="616"/>
      <c r="E42" s="616"/>
      <c r="F42" s="616"/>
      <c r="G42" s="616"/>
      <c r="H42" s="618"/>
    </row>
    <row r="43" spans="1:8" ht="12.75">
      <c r="A43" s="616">
        <v>1</v>
      </c>
      <c r="B43" s="618" t="s">
        <v>1917</v>
      </c>
      <c r="C43" s="616" t="s">
        <v>2103</v>
      </c>
      <c r="D43" s="616">
        <v>1</v>
      </c>
      <c r="E43" s="616">
        <v>0.5</v>
      </c>
      <c r="F43" s="616" t="s">
        <v>1978</v>
      </c>
      <c r="G43" s="616" t="s">
        <v>1975</v>
      </c>
      <c r="H43" s="618"/>
    </row>
    <row r="44" spans="1:8" ht="12.75">
      <c r="A44" s="616">
        <v>2</v>
      </c>
      <c r="B44" s="618" t="s">
        <v>2034</v>
      </c>
      <c r="C44" s="616" t="s">
        <v>1777</v>
      </c>
      <c r="D44" s="616">
        <v>1</v>
      </c>
      <c r="E44" s="616">
        <v>1</v>
      </c>
      <c r="F44" s="616" t="s">
        <v>1978</v>
      </c>
      <c r="G44" s="616" t="s">
        <v>1975</v>
      </c>
      <c r="H44" s="618"/>
    </row>
    <row r="45" spans="1:8" ht="12.75">
      <c r="A45" s="616">
        <v>3</v>
      </c>
      <c r="B45" s="618" t="s">
        <v>2035</v>
      </c>
      <c r="C45" s="616" t="s">
        <v>1777</v>
      </c>
      <c r="D45" s="616">
        <v>1</v>
      </c>
      <c r="E45" s="616">
        <v>1</v>
      </c>
      <c r="F45" s="616" t="s">
        <v>1978</v>
      </c>
      <c r="G45" s="616" t="s">
        <v>1975</v>
      </c>
      <c r="H45" s="618"/>
    </row>
    <row r="46" spans="1:8" ht="12.75">
      <c r="A46" s="616">
        <v>4</v>
      </c>
      <c r="B46" s="618" t="s">
        <v>1697</v>
      </c>
      <c r="C46" s="616" t="s">
        <v>1977</v>
      </c>
      <c r="D46" s="616">
        <v>1</v>
      </c>
      <c r="E46" s="616">
        <v>1</v>
      </c>
      <c r="F46" s="616" t="s">
        <v>1978</v>
      </c>
      <c r="G46" s="616" t="s">
        <v>1975</v>
      </c>
      <c r="H46" s="618"/>
    </row>
    <row r="47" spans="1:8" ht="12.75">
      <c r="A47" s="616">
        <v>5</v>
      </c>
      <c r="B47" s="618" t="s">
        <v>2080</v>
      </c>
      <c r="C47" s="616" t="s">
        <v>1977</v>
      </c>
      <c r="D47" s="616">
        <v>1</v>
      </c>
      <c r="E47" s="616">
        <v>1</v>
      </c>
      <c r="F47" s="616" t="s">
        <v>1978</v>
      </c>
      <c r="G47" s="616" t="s">
        <v>1975</v>
      </c>
      <c r="H47" s="618"/>
    </row>
    <row r="48" spans="1:8" ht="12.75">
      <c r="A48" s="616"/>
      <c r="B48" s="617" t="s">
        <v>1979</v>
      </c>
      <c r="C48" s="616"/>
      <c r="D48" s="616"/>
      <c r="E48" s="616"/>
      <c r="F48" s="616"/>
      <c r="G48" s="616"/>
      <c r="H48" s="618"/>
    </row>
    <row r="49" spans="1:8" ht="12.75">
      <c r="A49" s="616">
        <v>1</v>
      </c>
      <c r="B49" s="618" t="s">
        <v>1697</v>
      </c>
      <c r="C49" s="616" t="s">
        <v>1977</v>
      </c>
      <c r="D49" s="616">
        <v>1</v>
      </c>
      <c r="E49" s="616">
        <v>1</v>
      </c>
      <c r="F49" s="616" t="s">
        <v>1978</v>
      </c>
      <c r="G49" s="616" t="s">
        <v>1975</v>
      </c>
      <c r="H49" s="618"/>
    </row>
    <row r="50" spans="1:8" ht="12.75">
      <c r="A50" s="616">
        <v>2</v>
      </c>
      <c r="B50" s="618" t="s">
        <v>2080</v>
      </c>
      <c r="C50" s="616" t="s">
        <v>1977</v>
      </c>
      <c r="D50" s="616">
        <v>1</v>
      </c>
      <c r="E50" s="616">
        <v>1</v>
      </c>
      <c r="F50" s="616" t="s">
        <v>1978</v>
      </c>
      <c r="G50" s="616" t="s">
        <v>1975</v>
      </c>
      <c r="H50" s="618"/>
    </row>
    <row r="51" spans="1:8" ht="12.75">
      <c r="A51" s="616"/>
      <c r="B51" s="617" t="s">
        <v>2036</v>
      </c>
      <c r="C51" s="616"/>
      <c r="D51" s="616"/>
      <c r="E51" s="616"/>
      <c r="F51" s="616"/>
      <c r="G51" s="616"/>
      <c r="H51" s="618"/>
    </row>
    <row r="52" spans="1:8" ht="12.75">
      <c r="A52" s="619">
        <v>1</v>
      </c>
      <c r="B52" s="620" t="s">
        <v>2034</v>
      </c>
      <c r="C52" s="619" t="s">
        <v>1777</v>
      </c>
      <c r="D52" s="616">
        <v>1</v>
      </c>
      <c r="E52" s="619">
        <v>1</v>
      </c>
      <c r="F52" s="616" t="s">
        <v>1978</v>
      </c>
      <c r="G52" s="619" t="s">
        <v>1975</v>
      </c>
      <c r="H52" s="621"/>
    </row>
    <row r="53" spans="1:8" ht="12.75">
      <c r="A53" s="616">
        <v>2</v>
      </c>
      <c r="B53" s="618" t="s">
        <v>2035</v>
      </c>
      <c r="C53" s="616" t="s">
        <v>1777</v>
      </c>
      <c r="D53" s="616">
        <v>1</v>
      </c>
      <c r="E53" s="616">
        <v>1</v>
      </c>
      <c r="F53" s="616" t="s">
        <v>1978</v>
      </c>
      <c r="G53" s="616" t="s">
        <v>1975</v>
      </c>
      <c r="H53" s="618"/>
    </row>
    <row r="54" spans="1:8" ht="12.75">
      <c r="A54" s="616">
        <v>3</v>
      </c>
      <c r="B54" s="618" t="s">
        <v>1697</v>
      </c>
      <c r="C54" s="616" t="s">
        <v>1977</v>
      </c>
      <c r="D54" s="616">
        <v>1</v>
      </c>
      <c r="E54" s="616">
        <v>1</v>
      </c>
      <c r="F54" s="616" t="s">
        <v>1978</v>
      </c>
      <c r="G54" s="616" t="s">
        <v>1975</v>
      </c>
      <c r="H54" s="618"/>
    </row>
    <row r="55" spans="1:8" ht="12.75">
      <c r="A55" s="616">
        <v>4</v>
      </c>
      <c r="B55" s="618" t="s">
        <v>2080</v>
      </c>
      <c r="C55" s="616" t="s">
        <v>1977</v>
      </c>
      <c r="D55" s="616">
        <v>1</v>
      </c>
      <c r="E55" s="616">
        <v>1</v>
      </c>
      <c r="F55" s="616" t="s">
        <v>1978</v>
      </c>
      <c r="G55" s="616" t="s">
        <v>1975</v>
      </c>
      <c r="H55" s="618"/>
    </row>
    <row r="56" spans="1:8" ht="12.75">
      <c r="A56" s="616"/>
      <c r="B56" s="617" t="s">
        <v>2037</v>
      </c>
      <c r="C56" s="616"/>
      <c r="D56" s="616"/>
      <c r="E56" s="616"/>
      <c r="F56" s="616"/>
      <c r="G56" s="616"/>
      <c r="H56" s="618"/>
    </row>
    <row r="57" spans="1:8" ht="12.75">
      <c r="A57" s="616">
        <v>1</v>
      </c>
      <c r="B57" s="618" t="s">
        <v>1918</v>
      </c>
      <c r="C57" s="616" t="s">
        <v>2103</v>
      </c>
      <c r="D57" s="616">
        <v>1</v>
      </c>
      <c r="E57" s="616">
        <v>0.5</v>
      </c>
      <c r="F57" s="616" t="s">
        <v>1978</v>
      </c>
      <c r="G57" s="616" t="s">
        <v>1975</v>
      </c>
      <c r="H57" s="618"/>
    </row>
    <row r="58" spans="1:8" ht="12.75">
      <c r="A58" s="616">
        <v>2</v>
      </c>
      <c r="B58" s="618" t="s">
        <v>2034</v>
      </c>
      <c r="C58" s="616" t="s">
        <v>1777</v>
      </c>
      <c r="D58" s="616">
        <v>1</v>
      </c>
      <c r="E58" s="616">
        <v>1</v>
      </c>
      <c r="F58" s="616" t="s">
        <v>1978</v>
      </c>
      <c r="G58" s="616" t="s">
        <v>1975</v>
      </c>
      <c r="H58" s="618"/>
    </row>
    <row r="59" spans="1:8" ht="12.75">
      <c r="A59" s="616">
        <v>3</v>
      </c>
      <c r="B59" s="618" t="s">
        <v>1697</v>
      </c>
      <c r="C59" s="616" t="s">
        <v>1977</v>
      </c>
      <c r="D59" s="616">
        <v>1</v>
      </c>
      <c r="E59" s="616">
        <v>1</v>
      </c>
      <c r="F59" s="616" t="s">
        <v>1978</v>
      </c>
      <c r="G59" s="616" t="s">
        <v>1975</v>
      </c>
      <c r="H59" s="618"/>
    </row>
    <row r="60" spans="1:8" ht="12.75">
      <c r="A60" s="616"/>
      <c r="B60" s="617" t="s">
        <v>2038</v>
      </c>
      <c r="C60" s="616"/>
      <c r="D60" s="616"/>
      <c r="E60" s="616"/>
      <c r="F60" s="616"/>
      <c r="G60" s="616"/>
      <c r="H60" s="618"/>
    </row>
    <row r="61" spans="1:8" ht="12.75">
      <c r="A61" s="616">
        <v>1</v>
      </c>
      <c r="B61" s="618" t="s">
        <v>1698</v>
      </c>
      <c r="C61" s="616" t="s">
        <v>1977</v>
      </c>
      <c r="D61" s="616">
        <v>1</v>
      </c>
      <c r="E61" s="616">
        <v>1</v>
      </c>
      <c r="F61" s="616" t="s">
        <v>1978</v>
      </c>
      <c r="G61" s="616" t="s">
        <v>1975</v>
      </c>
      <c r="H61" s="618"/>
    </row>
    <row r="62" spans="1:8" ht="12.75">
      <c r="A62" s="616">
        <v>2</v>
      </c>
      <c r="B62" s="618" t="s">
        <v>2080</v>
      </c>
      <c r="C62" s="616" t="s">
        <v>1977</v>
      </c>
      <c r="D62" s="616">
        <v>1</v>
      </c>
      <c r="E62" s="616">
        <v>1</v>
      </c>
      <c r="F62" s="616" t="s">
        <v>1978</v>
      </c>
      <c r="G62" s="616" t="s">
        <v>1975</v>
      </c>
      <c r="H62" s="618"/>
    </row>
    <row r="63" spans="1:8" ht="12.75">
      <c r="A63" s="616"/>
      <c r="B63" s="617" t="s">
        <v>2039</v>
      </c>
      <c r="C63" s="616"/>
      <c r="D63" s="616"/>
      <c r="E63" s="616"/>
      <c r="F63" s="616"/>
      <c r="G63" s="616"/>
      <c r="H63" s="618"/>
    </row>
    <row r="64" spans="1:8" ht="12.75">
      <c r="A64" s="616">
        <v>1</v>
      </c>
      <c r="B64" s="618" t="s">
        <v>2034</v>
      </c>
      <c r="C64" s="616" t="s">
        <v>1777</v>
      </c>
      <c r="D64" s="616">
        <v>1</v>
      </c>
      <c r="E64" s="616">
        <v>1</v>
      </c>
      <c r="F64" s="616" t="s">
        <v>1978</v>
      </c>
      <c r="G64" s="616" t="s">
        <v>1975</v>
      </c>
      <c r="H64" s="618"/>
    </row>
    <row r="65" spans="1:8" ht="12.75">
      <c r="A65" s="616">
        <v>2</v>
      </c>
      <c r="B65" s="618" t="s">
        <v>2035</v>
      </c>
      <c r="C65" s="616" t="s">
        <v>1777</v>
      </c>
      <c r="D65" s="616">
        <v>1</v>
      </c>
      <c r="E65" s="616">
        <v>1</v>
      </c>
      <c r="F65" s="616" t="s">
        <v>1978</v>
      </c>
      <c r="G65" s="616" t="s">
        <v>1975</v>
      </c>
      <c r="H65" s="618"/>
    </row>
    <row r="66" spans="1:8" ht="12.75">
      <c r="A66" s="616">
        <v>3</v>
      </c>
      <c r="B66" s="618" t="s">
        <v>1697</v>
      </c>
      <c r="C66" s="616" t="s">
        <v>1977</v>
      </c>
      <c r="D66" s="616">
        <v>1</v>
      </c>
      <c r="E66" s="616">
        <v>1</v>
      </c>
      <c r="F66" s="616" t="s">
        <v>1978</v>
      </c>
      <c r="G66" s="616" t="s">
        <v>1975</v>
      </c>
      <c r="H66" s="618"/>
    </row>
    <row r="67" spans="1:8" ht="12.75">
      <c r="A67" s="616">
        <v>4</v>
      </c>
      <c r="B67" s="618" t="s">
        <v>2080</v>
      </c>
      <c r="C67" s="616" t="s">
        <v>1977</v>
      </c>
      <c r="D67" s="616">
        <v>1</v>
      </c>
      <c r="E67" s="616">
        <v>1</v>
      </c>
      <c r="F67" s="616" t="s">
        <v>1978</v>
      </c>
      <c r="G67" s="616" t="s">
        <v>1975</v>
      </c>
      <c r="H67" s="618"/>
    </row>
    <row r="68" spans="1:8" ht="12.75">
      <c r="A68" s="616"/>
      <c r="B68" s="617" t="s">
        <v>2040</v>
      </c>
      <c r="C68" s="616"/>
      <c r="D68" s="616"/>
      <c r="E68" s="616"/>
      <c r="F68" s="616"/>
      <c r="G68" s="616"/>
      <c r="H68" s="618"/>
    </row>
    <row r="69" spans="1:8" ht="12.75">
      <c r="A69" s="616">
        <v>1</v>
      </c>
      <c r="B69" s="618" t="s">
        <v>1697</v>
      </c>
      <c r="C69" s="616" t="s">
        <v>1977</v>
      </c>
      <c r="D69" s="616">
        <v>1</v>
      </c>
      <c r="E69" s="616">
        <v>1</v>
      </c>
      <c r="F69" s="616" t="s">
        <v>1978</v>
      </c>
      <c r="G69" s="616" t="s">
        <v>1975</v>
      </c>
      <c r="H69" s="618"/>
    </row>
    <row r="70" spans="1:8" ht="12.75">
      <c r="A70" s="616">
        <v>2</v>
      </c>
      <c r="B70" s="618" t="s">
        <v>2041</v>
      </c>
      <c r="C70" s="616" t="s">
        <v>1977</v>
      </c>
      <c r="D70" s="616">
        <v>1</v>
      </c>
      <c r="E70" s="616">
        <v>1</v>
      </c>
      <c r="F70" s="616" t="s">
        <v>1978</v>
      </c>
      <c r="G70" s="616" t="s">
        <v>1975</v>
      </c>
      <c r="H70" s="618"/>
    </row>
    <row r="71" spans="1:8" ht="12.75">
      <c r="A71" s="616"/>
      <c r="B71" s="617" t="s">
        <v>2042</v>
      </c>
      <c r="C71" s="616"/>
      <c r="D71" s="616"/>
      <c r="E71" s="616"/>
      <c r="F71" s="616"/>
      <c r="G71" s="616"/>
      <c r="H71" s="618"/>
    </row>
    <row r="72" spans="1:8" ht="12.75">
      <c r="A72" s="616">
        <v>1</v>
      </c>
      <c r="B72" s="618" t="s">
        <v>2043</v>
      </c>
      <c r="C72" s="616" t="s">
        <v>1977</v>
      </c>
      <c r="D72" s="616">
        <v>1</v>
      </c>
      <c r="E72" s="616">
        <v>1</v>
      </c>
      <c r="F72" s="616" t="s">
        <v>1978</v>
      </c>
      <c r="G72" s="616" t="s">
        <v>1975</v>
      </c>
      <c r="H72" s="618"/>
    </row>
    <row r="73" spans="1:8" ht="12.75">
      <c r="A73" s="616"/>
      <c r="B73" s="617" t="s">
        <v>2044</v>
      </c>
      <c r="C73" s="616"/>
      <c r="D73" s="616"/>
      <c r="E73" s="616"/>
      <c r="F73" s="616"/>
      <c r="G73" s="616"/>
      <c r="H73" s="618"/>
    </row>
    <row r="74" spans="1:8" ht="12.75">
      <c r="A74" s="616">
        <v>1</v>
      </c>
      <c r="B74" s="618" t="s">
        <v>2045</v>
      </c>
      <c r="C74" s="616" t="s">
        <v>1777</v>
      </c>
      <c r="D74" s="616">
        <v>1</v>
      </c>
      <c r="E74" s="616">
        <v>1</v>
      </c>
      <c r="F74" s="616" t="s">
        <v>1978</v>
      </c>
      <c r="G74" s="616" t="s">
        <v>1975</v>
      </c>
      <c r="H74" s="618"/>
    </row>
    <row r="75" spans="1:8" ht="12.75">
      <c r="A75" s="616">
        <v>2</v>
      </c>
      <c r="B75" s="618" t="s">
        <v>2046</v>
      </c>
      <c r="C75" s="616" t="s">
        <v>2047</v>
      </c>
      <c r="D75" s="616">
        <v>1</v>
      </c>
      <c r="E75" s="616">
        <v>1</v>
      </c>
      <c r="F75" s="616" t="s">
        <v>1978</v>
      </c>
      <c r="G75" s="616" t="s">
        <v>1975</v>
      </c>
      <c r="H75" s="618"/>
    </row>
    <row r="76" spans="1:8" ht="12.75">
      <c r="A76" s="616">
        <v>3</v>
      </c>
      <c r="B76" s="618" t="s">
        <v>2023</v>
      </c>
      <c r="C76" s="616" t="s">
        <v>1977</v>
      </c>
      <c r="D76" s="616">
        <v>1</v>
      </c>
      <c r="E76" s="616">
        <v>1</v>
      </c>
      <c r="F76" s="616" t="s">
        <v>1978</v>
      </c>
      <c r="G76" s="616" t="s">
        <v>1975</v>
      </c>
      <c r="H76" s="618"/>
    </row>
    <row r="77" spans="1:8" ht="12.75">
      <c r="A77" s="616">
        <v>4</v>
      </c>
      <c r="B77" s="618" t="s">
        <v>2048</v>
      </c>
      <c r="C77" s="616" t="s">
        <v>1977</v>
      </c>
      <c r="D77" s="616">
        <v>1</v>
      </c>
      <c r="E77" s="616">
        <v>1</v>
      </c>
      <c r="F77" s="616" t="s">
        <v>1978</v>
      </c>
      <c r="G77" s="616" t="s">
        <v>1975</v>
      </c>
      <c r="H77" s="618"/>
    </row>
    <row r="78" spans="1:8" ht="12.75">
      <c r="A78" s="616"/>
      <c r="B78" s="617" t="s">
        <v>2049</v>
      </c>
      <c r="C78" s="616"/>
      <c r="D78" s="616"/>
      <c r="E78" s="616"/>
      <c r="F78" s="616"/>
      <c r="G78" s="616"/>
      <c r="H78" s="618"/>
    </row>
    <row r="79" spans="1:8" ht="12.75">
      <c r="A79" s="616">
        <v>1</v>
      </c>
      <c r="B79" s="618" t="s">
        <v>2045</v>
      </c>
      <c r="C79" s="616" t="s">
        <v>1777</v>
      </c>
      <c r="D79" s="616">
        <v>1</v>
      </c>
      <c r="E79" s="616">
        <v>1</v>
      </c>
      <c r="F79" s="616" t="s">
        <v>1978</v>
      </c>
      <c r="G79" s="616" t="s">
        <v>2050</v>
      </c>
      <c r="H79" s="618"/>
    </row>
    <row r="80" spans="1:8" ht="12.75">
      <c r="A80" s="616">
        <v>2</v>
      </c>
      <c r="B80" s="618" t="s">
        <v>2046</v>
      </c>
      <c r="C80" s="616" t="s">
        <v>1777</v>
      </c>
      <c r="D80" s="616">
        <v>1</v>
      </c>
      <c r="E80" s="616">
        <v>1</v>
      </c>
      <c r="F80" s="616" t="s">
        <v>1978</v>
      </c>
      <c r="G80" s="616" t="s">
        <v>1975</v>
      </c>
      <c r="H80" s="618"/>
    </row>
    <row r="81" spans="1:8" ht="12.75">
      <c r="A81" s="616">
        <v>3</v>
      </c>
      <c r="B81" s="618" t="s">
        <v>2023</v>
      </c>
      <c r="C81" s="616" t="s">
        <v>1977</v>
      </c>
      <c r="D81" s="616">
        <v>1</v>
      </c>
      <c r="E81" s="616">
        <v>1</v>
      </c>
      <c r="F81" s="616" t="s">
        <v>1978</v>
      </c>
      <c r="G81" s="616" t="s">
        <v>1975</v>
      </c>
      <c r="H81" s="618"/>
    </row>
    <row r="82" spans="1:8" ht="12.75">
      <c r="A82" s="616">
        <v>4</v>
      </c>
      <c r="B82" s="618" t="s">
        <v>2024</v>
      </c>
      <c r="C82" s="616" t="s">
        <v>1977</v>
      </c>
      <c r="D82" s="616">
        <v>1</v>
      </c>
      <c r="E82" s="616">
        <v>1</v>
      </c>
      <c r="F82" s="616" t="s">
        <v>1978</v>
      </c>
      <c r="G82" s="616" t="s">
        <v>1975</v>
      </c>
      <c r="H82" s="618"/>
    </row>
    <row r="83" spans="1:8" ht="12.75">
      <c r="A83" s="616">
        <v>5</v>
      </c>
      <c r="B83" s="618" t="s">
        <v>2051</v>
      </c>
      <c r="C83" s="616" t="s">
        <v>1777</v>
      </c>
      <c r="D83" s="616">
        <v>1</v>
      </c>
      <c r="E83" s="616">
        <v>1</v>
      </c>
      <c r="F83" s="616" t="s">
        <v>1978</v>
      </c>
      <c r="G83" s="616" t="s">
        <v>1975</v>
      </c>
      <c r="H83" s="618"/>
    </row>
    <row r="84" spans="1:8" ht="12.75">
      <c r="A84" s="616"/>
      <c r="B84" s="617" t="s">
        <v>2052</v>
      </c>
      <c r="C84" s="616"/>
      <c r="D84" s="616"/>
      <c r="E84" s="616"/>
      <c r="F84" s="616"/>
      <c r="G84" s="616"/>
      <c r="H84" s="618"/>
    </row>
    <row r="85" spans="1:8" ht="12.75">
      <c r="A85" s="616">
        <v>1</v>
      </c>
      <c r="B85" s="618" t="s">
        <v>1919</v>
      </c>
      <c r="C85" s="616" t="s">
        <v>2103</v>
      </c>
      <c r="D85" s="616">
        <v>1</v>
      </c>
      <c r="E85" s="616">
        <v>0.5</v>
      </c>
      <c r="F85" s="616" t="s">
        <v>1978</v>
      </c>
      <c r="G85" s="616" t="s">
        <v>1975</v>
      </c>
      <c r="H85" s="618"/>
    </row>
    <row r="86" spans="1:8" ht="12.75">
      <c r="A86" s="616">
        <v>2</v>
      </c>
      <c r="B86" s="618" t="s">
        <v>2053</v>
      </c>
      <c r="C86" s="616" t="s">
        <v>1777</v>
      </c>
      <c r="D86" s="616">
        <v>1</v>
      </c>
      <c r="E86" s="616">
        <v>1</v>
      </c>
      <c r="F86" s="616" t="s">
        <v>1978</v>
      </c>
      <c r="G86" s="616" t="s">
        <v>1975</v>
      </c>
      <c r="H86" s="618"/>
    </row>
    <row r="87" spans="1:8" ht="12.75">
      <c r="A87" s="616">
        <v>3</v>
      </c>
      <c r="B87" s="618" t="s">
        <v>2035</v>
      </c>
      <c r="C87" s="616" t="s">
        <v>1777</v>
      </c>
      <c r="D87" s="616">
        <v>1</v>
      </c>
      <c r="E87" s="616">
        <v>1</v>
      </c>
      <c r="F87" s="616" t="s">
        <v>1978</v>
      </c>
      <c r="G87" s="616" t="s">
        <v>1975</v>
      </c>
      <c r="H87" s="618"/>
    </row>
    <row r="88" spans="1:8" ht="12.75">
      <c r="A88" s="616">
        <v>4</v>
      </c>
      <c r="B88" s="618" t="s">
        <v>2043</v>
      </c>
      <c r="C88" s="616" t="s">
        <v>1977</v>
      </c>
      <c r="D88" s="616">
        <v>1</v>
      </c>
      <c r="E88" s="616">
        <v>1</v>
      </c>
      <c r="F88" s="616" t="s">
        <v>1978</v>
      </c>
      <c r="G88" s="616" t="s">
        <v>1975</v>
      </c>
      <c r="H88" s="618"/>
    </row>
    <row r="89" spans="1:8" ht="12.75">
      <c r="A89" s="616">
        <v>5</v>
      </c>
      <c r="B89" s="618" t="s">
        <v>2024</v>
      </c>
      <c r="C89" s="616" t="s">
        <v>1977</v>
      </c>
      <c r="D89" s="616">
        <v>1</v>
      </c>
      <c r="E89" s="616">
        <v>1</v>
      </c>
      <c r="F89" s="616" t="s">
        <v>1978</v>
      </c>
      <c r="G89" s="616" t="s">
        <v>1975</v>
      </c>
      <c r="H89" s="618"/>
    </row>
    <row r="90" spans="1:8" ht="12.75">
      <c r="A90" s="616"/>
      <c r="B90" s="617" t="s">
        <v>2054</v>
      </c>
      <c r="C90" s="616"/>
      <c r="D90" s="616"/>
      <c r="E90" s="616"/>
      <c r="F90" s="616"/>
      <c r="G90" s="616"/>
      <c r="H90" s="618"/>
    </row>
    <row r="91" spans="1:8" ht="12.75">
      <c r="A91" s="616">
        <v>1</v>
      </c>
      <c r="B91" s="618" t="s">
        <v>2055</v>
      </c>
      <c r="C91" s="616" t="s">
        <v>1777</v>
      </c>
      <c r="D91" s="616">
        <v>1</v>
      </c>
      <c r="E91" s="616">
        <v>1</v>
      </c>
      <c r="F91" s="616" t="s">
        <v>1978</v>
      </c>
      <c r="G91" s="616" t="s">
        <v>1975</v>
      </c>
      <c r="H91" s="618"/>
    </row>
    <row r="92" spans="1:8" ht="12.75">
      <c r="A92" s="616"/>
      <c r="B92" s="617" t="s">
        <v>2056</v>
      </c>
      <c r="C92" s="616"/>
      <c r="D92" s="616"/>
      <c r="E92" s="616"/>
      <c r="F92" s="616"/>
      <c r="G92" s="616"/>
      <c r="H92" s="618"/>
    </row>
    <row r="93" spans="1:8" ht="12.75">
      <c r="A93" s="616">
        <v>1</v>
      </c>
      <c r="B93" s="618" t="s">
        <v>2023</v>
      </c>
      <c r="C93" s="616" t="s">
        <v>1977</v>
      </c>
      <c r="D93" s="616">
        <v>1</v>
      </c>
      <c r="E93" s="616">
        <v>1</v>
      </c>
      <c r="F93" s="616" t="s">
        <v>1978</v>
      </c>
      <c r="G93" s="616" t="s">
        <v>1975</v>
      </c>
      <c r="H93" s="618"/>
    </row>
    <row r="94" spans="1:8" ht="12.75">
      <c r="A94" s="616">
        <v>2</v>
      </c>
      <c r="B94" s="618" t="s">
        <v>2024</v>
      </c>
      <c r="C94" s="616" t="s">
        <v>1977</v>
      </c>
      <c r="D94" s="616">
        <v>1</v>
      </c>
      <c r="E94" s="616">
        <v>1</v>
      </c>
      <c r="F94" s="616" t="s">
        <v>1978</v>
      </c>
      <c r="G94" s="616" t="s">
        <v>1975</v>
      </c>
      <c r="H94" s="618"/>
    </row>
    <row r="95" spans="1:8" ht="12.75">
      <c r="A95" s="616">
        <v>3</v>
      </c>
      <c r="B95" s="618" t="s">
        <v>2057</v>
      </c>
      <c r="C95" s="616" t="s">
        <v>1777</v>
      </c>
      <c r="D95" s="616">
        <v>1</v>
      </c>
      <c r="E95" s="616">
        <v>1</v>
      </c>
      <c r="F95" s="616" t="s">
        <v>1978</v>
      </c>
      <c r="G95" s="616" t="s">
        <v>1975</v>
      </c>
      <c r="H95" s="618"/>
    </row>
    <row r="96" spans="1:8" ht="12.75">
      <c r="A96" s="616">
        <v>4</v>
      </c>
      <c r="B96" s="618" t="s">
        <v>2009</v>
      </c>
      <c r="C96" s="616" t="s">
        <v>1777</v>
      </c>
      <c r="D96" s="616">
        <v>1</v>
      </c>
      <c r="E96" s="616">
        <v>1</v>
      </c>
      <c r="F96" s="616" t="s">
        <v>1978</v>
      </c>
      <c r="G96" s="616" t="s">
        <v>1975</v>
      </c>
      <c r="H96" s="618"/>
    </row>
    <row r="97" spans="1:8" ht="12.75">
      <c r="A97" s="616"/>
      <c r="B97" s="617" t="s">
        <v>2058</v>
      </c>
      <c r="C97" s="616"/>
      <c r="D97" s="616"/>
      <c r="E97" s="616"/>
      <c r="F97" s="616"/>
      <c r="G97" s="616"/>
      <c r="H97" s="618"/>
    </row>
    <row r="98" spans="1:8" ht="12.75">
      <c r="A98" s="616">
        <v>1</v>
      </c>
      <c r="B98" s="618" t="s">
        <v>2023</v>
      </c>
      <c r="C98" s="616" t="s">
        <v>1977</v>
      </c>
      <c r="D98" s="616">
        <v>1</v>
      </c>
      <c r="E98" s="616">
        <v>1</v>
      </c>
      <c r="F98" s="616" t="s">
        <v>1978</v>
      </c>
      <c r="G98" s="616" t="s">
        <v>1975</v>
      </c>
      <c r="H98" s="618"/>
    </row>
    <row r="99" spans="1:8" ht="12.75">
      <c r="A99" s="616"/>
      <c r="B99" s="617" t="s">
        <v>2059</v>
      </c>
      <c r="C99" s="616"/>
      <c r="D99" s="616"/>
      <c r="E99" s="616"/>
      <c r="F99" s="616"/>
      <c r="G99" s="616"/>
      <c r="H99" s="618"/>
    </row>
    <row r="100" spans="1:8" ht="12.75">
      <c r="A100" s="616">
        <v>1</v>
      </c>
      <c r="B100" s="618" t="s">
        <v>2023</v>
      </c>
      <c r="C100" s="616" t="s">
        <v>1977</v>
      </c>
      <c r="D100" s="616">
        <v>1</v>
      </c>
      <c r="E100" s="616">
        <v>1</v>
      </c>
      <c r="F100" s="616" t="s">
        <v>1978</v>
      </c>
      <c r="G100" s="616" t="s">
        <v>1975</v>
      </c>
      <c r="H100" s="618"/>
    </row>
    <row r="101" spans="1:8" ht="12.75">
      <c r="A101" s="616"/>
      <c r="B101" s="617" t="s">
        <v>2060</v>
      </c>
      <c r="C101" s="616"/>
      <c r="D101" s="616"/>
      <c r="E101" s="616"/>
      <c r="F101" s="616"/>
      <c r="G101" s="616"/>
      <c r="H101" s="618"/>
    </row>
    <row r="102" spans="1:8" ht="12.75">
      <c r="A102" s="616">
        <v>1</v>
      </c>
      <c r="B102" s="618" t="s">
        <v>2043</v>
      </c>
      <c r="C102" s="616" t="s">
        <v>1977</v>
      </c>
      <c r="D102" s="616">
        <v>1</v>
      </c>
      <c r="E102" s="616">
        <v>1</v>
      </c>
      <c r="F102" s="616" t="s">
        <v>1978</v>
      </c>
      <c r="G102" s="616" t="s">
        <v>1975</v>
      </c>
      <c r="H102" s="618"/>
    </row>
    <row r="103" spans="1:8" ht="12.75">
      <c r="A103" s="616"/>
      <c r="B103" s="617" t="s">
        <v>2061</v>
      </c>
      <c r="C103" s="616"/>
      <c r="D103" s="616"/>
      <c r="E103" s="616"/>
      <c r="F103" s="616"/>
      <c r="G103" s="616"/>
      <c r="H103" s="618"/>
    </row>
    <row r="104" spans="1:8" ht="12.75">
      <c r="A104" s="616">
        <v>1</v>
      </c>
      <c r="B104" s="618" t="s">
        <v>2023</v>
      </c>
      <c r="C104" s="616" t="s">
        <v>1977</v>
      </c>
      <c r="D104" s="616">
        <v>1</v>
      </c>
      <c r="E104" s="616">
        <v>1</v>
      </c>
      <c r="F104" s="616" t="s">
        <v>1978</v>
      </c>
      <c r="G104" s="616" t="s">
        <v>1975</v>
      </c>
      <c r="H104" s="618"/>
    </row>
    <row r="105" spans="1:8" ht="12.75">
      <c r="A105" s="616"/>
      <c r="B105" s="617" t="s">
        <v>2062</v>
      </c>
      <c r="C105" s="616"/>
      <c r="D105" s="616"/>
      <c r="E105" s="616"/>
      <c r="F105" s="616"/>
      <c r="G105" s="616"/>
      <c r="H105" s="618"/>
    </row>
    <row r="106" spans="1:8" ht="12.75">
      <c r="A106" s="616">
        <v>1</v>
      </c>
      <c r="B106" s="618" t="s">
        <v>2023</v>
      </c>
      <c r="C106" s="616" t="s">
        <v>1977</v>
      </c>
      <c r="D106" s="616">
        <v>1</v>
      </c>
      <c r="E106" s="616">
        <v>1</v>
      </c>
      <c r="F106" s="616" t="s">
        <v>1978</v>
      </c>
      <c r="G106" s="616" t="s">
        <v>1975</v>
      </c>
      <c r="H106" s="618"/>
    </row>
    <row r="107" spans="1:8" ht="12.75">
      <c r="A107" s="616"/>
      <c r="B107" s="617" t="s">
        <v>2063</v>
      </c>
      <c r="C107" s="616"/>
      <c r="D107" s="616"/>
      <c r="E107" s="616"/>
      <c r="F107" s="616"/>
      <c r="G107" s="616"/>
      <c r="H107" s="618"/>
    </row>
    <row r="108" spans="1:8" ht="12.75">
      <c r="A108" s="616">
        <v>1</v>
      </c>
      <c r="B108" s="618" t="s">
        <v>2034</v>
      </c>
      <c r="C108" s="616" t="s">
        <v>1777</v>
      </c>
      <c r="D108" s="616">
        <v>1</v>
      </c>
      <c r="E108" s="616">
        <v>1</v>
      </c>
      <c r="F108" s="616" t="s">
        <v>1978</v>
      </c>
      <c r="G108" s="616" t="s">
        <v>1975</v>
      </c>
      <c r="H108" s="618"/>
    </row>
    <row r="109" spans="1:8" ht="12.75">
      <c r="A109" s="616">
        <v>2</v>
      </c>
      <c r="B109" s="618" t="s">
        <v>1697</v>
      </c>
      <c r="C109" s="616" t="s">
        <v>1977</v>
      </c>
      <c r="D109" s="616">
        <v>1</v>
      </c>
      <c r="E109" s="616">
        <v>1</v>
      </c>
      <c r="F109" s="616" t="s">
        <v>1978</v>
      </c>
      <c r="G109" s="616" t="s">
        <v>1975</v>
      </c>
      <c r="H109" s="618"/>
    </row>
    <row r="110" spans="1:8" ht="12.75">
      <c r="A110" s="616"/>
      <c r="B110" s="617" t="s">
        <v>2064</v>
      </c>
      <c r="C110" s="616"/>
      <c r="D110" s="616"/>
      <c r="E110" s="616"/>
      <c r="F110" s="616"/>
      <c r="G110" s="616"/>
      <c r="H110" s="618"/>
    </row>
    <row r="111" spans="1:8" ht="12.75">
      <c r="A111" s="616">
        <v>1</v>
      </c>
      <c r="B111" s="618" t="s">
        <v>1697</v>
      </c>
      <c r="C111" s="616" t="s">
        <v>1977</v>
      </c>
      <c r="D111" s="616">
        <v>1</v>
      </c>
      <c r="E111" s="616">
        <v>1</v>
      </c>
      <c r="F111" s="616" t="s">
        <v>1978</v>
      </c>
      <c r="G111" s="616" t="s">
        <v>1975</v>
      </c>
      <c r="H111" s="618"/>
    </row>
    <row r="112" spans="1:8" ht="12.75">
      <c r="A112" s="616"/>
      <c r="B112" s="617" t="s">
        <v>2040</v>
      </c>
      <c r="C112" s="616"/>
      <c r="D112" s="616"/>
      <c r="E112" s="616"/>
      <c r="F112" s="616"/>
      <c r="G112" s="616"/>
      <c r="H112" s="618"/>
    </row>
    <row r="113" spans="1:8" ht="12.75">
      <c r="A113" s="616">
        <v>1</v>
      </c>
      <c r="B113" s="618" t="s">
        <v>2065</v>
      </c>
      <c r="C113" s="616" t="s">
        <v>1777</v>
      </c>
      <c r="D113" s="616">
        <v>1</v>
      </c>
      <c r="E113" s="616">
        <v>1</v>
      </c>
      <c r="F113" s="616" t="s">
        <v>1978</v>
      </c>
      <c r="G113" s="616" t="s">
        <v>1975</v>
      </c>
      <c r="H113" s="618"/>
    </row>
    <row r="114" spans="1:8" ht="12.75">
      <c r="A114" s="616"/>
      <c r="B114" s="617" t="s">
        <v>2066</v>
      </c>
      <c r="C114" s="616"/>
      <c r="D114" s="616"/>
      <c r="E114" s="616"/>
      <c r="F114" s="616"/>
      <c r="G114" s="616"/>
      <c r="H114" s="618"/>
    </row>
    <row r="115" spans="1:8" ht="12.75">
      <c r="A115" s="616">
        <v>1</v>
      </c>
      <c r="B115" s="618" t="s">
        <v>2023</v>
      </c>
      <c r="C115" s="616" t="s">
        <v>1977</v>
      </c>
      <c r="D115" s="616">
        <v>1</v>
      </c>
      <c r="E115" s="616">
        <v>1</v>
      </c>
      <c r="F115" s="616" t="s">
        <v>1978</v>
      </c>
      <c r="G115" s="616" t="s">
        <v>1975</v>
      </c>
      <c r="H115" s="618"/>
    </row>
    <row r="116" spans="1:8" ht="12.75">
      <c r="A116" s="616"/>
      <c r="B116" s="617" t="s">
        <v>2067</v>
      </c>
      <c r="C116" s="616"/>
      <c r="D116" s="616"/>
      <c r="E116" s="616"/>
      <c r="F116" s="616"/>
      <c r="G116" s="616"/>
      <c r="H116" s="618"/>
    </row>
    <row r="117" spans="1:8" ht="12.75">
      <c r="A117" s="616">
        <v>1</v>
      </c>
      <c r="B117" s="618" t="s">
        <v>2043</v>
      </c>
      <c r="C117" s="616" t="s">
        <v>1977</v>
      </c>
      <c r="D117" s="616">
        <v>1</v>
      </c>
      <c r="E117" s="616">
        <v>1</v>
      </c>
      <c r="F117" s="616" t="s">
        <v>1978</v>
      </c>
      <c r="G117" s="616" t="s">
        <v>1975</v>
      </c>
      <c r="H117" s="622"/>
    </row>
    <row r="118" spans="1:8" ht="12.75">
      <c r="A118" s="616">
        <v>2</v>
      </c>
      <c r="B118" s="618" t="s">
        <v>2024</v>
      </c>
      <c r="C118" s="616" t="s">
        <v>1977</v>
      </c>
      <c r="D118" s="616">
        <v>1</v>
      </c>
      <c r="E118" s="616">
        <v>1</v>
      </c>
      <c r="F118" s="616" t="s">
        <v>1978</v>
      </c>
      <c r="G118" s="616" t="s">
        <v>1975</v>
      </c>
      <c r="H118" s="622" t="s">
        <v>2086</v>
      </c>
    </row>
    <row r="119" spans="1:8" ht="12.75">
      <c r="A119" s="616"/>
      <c r="B119" s="617" t="s">
        <v>2028</v>
      </c>
      <c r="C119" s="616"/>
      <c r="D119" s="616"/>
      <c r="E119" s="616"/>
      <c r="F119" s="616"/>
      <c r="G119" s="616"/>
      <c r="H119" s="618"/>
    </row>
    <row r="120" spans="1:8" ht="12.75">
      <c r="A120" s="616">
        <v>1</v>
      </c>
      <c r="B120" s="618" t="s">
        <v>2023</v>
      </c>
      <c r="C120" s="616" t="s">
        <v>1977</v>
      </c>
      <c r="D120" s="616">
        <v>1</v>
      </c>
      <c r="E120" s="616">
        <v>1</v>
      </c>
      <c r="F120" s="616" t="s">
        <v>1978</v>
      </c>
      <c r="G120" s="616" t="s">
        <v>1975</v>
      </c>
      <c r="H120" s="618"/>
    </row>
    <row r="121" spans="1:8" ht="12.75">
      <c r="A121" s="616">
        <v>2</v>
      </c>
      <c r="B121" s="618" t="s">
        <v>2048</v>
      </c>
      <c r="C121" s="616" t="s">
        <v>1977</v>
      </c>
      <c r="D121" s="616">
        <v>1</v>
      </c>
      <c r="E121" s="616">
        <v>1</v>
      </c>
      <c r="F121" s="616" t="s">
        <v>1978</v>
      </c>
      <c r="G121" s="616" t="s">
        <v>1975</v>
      </c>
      <c r="H121" s="618"/>
    </row>
    <row r="122" spans="1:8" ht="12.75">
      <c r="A122" s="616"/>
      <c r="B122" s="617" t="s">
        <v>1920</v>
      </c>
      <c r="C122" s="616"/>
      <c r="D122" s="616"/>
      <c r="E122" s="616"/>
      <c r="F122" s="616"/>
      <c r="G122" s="616"/>
      <c r="H122" s="618"/>
    </row>
    <row r="123" spans="1:8" ht="12.75">
      <c r="A123" s="616">
        <v>1</v>
      </c>
      <c r="B123" s="618" t="s">
        <v>2043</v>
      </c>
      <c r="C123" s="616" t="s">
        <v>1977</v>
      </c>
      <c r="D123" s="616">
        <v>1</v>
      </c>
      <c r="E123" s="616">
        <v>1</v>
      </c>
      <c r="F123" s="616" t="s">
        <v>1978</v>
      </c>
      <c r="G123" s="616" t="s">
        <v>1975</v>
      </c>
      <c r="H123" s="618"/>
    </row>
    <row r="124" spans="1:8" ht="12.75">
      <c r="A124" s="616">
        <v>2</v>
      </c>
      <c r="B124" s="618" t="s">
        <v>2048</v>
      </c>
      <c r="C124" s="616" t="s">
        <v>1977</v>
      </c>
      <c r="D124" s="616">
        <v>1</v>
      </c>
      <c r="E124" s="616">
        <v>1</v>
      </c>
      <c r="F124" s="616" t="s">
        <v>1978</v>
      </c>
      <c r="G124" s="616" t="s">
        <v>1975</v>
      </c>
      <c r="H124" s="618"/>
    </row>
    <row r="125" spans="1:8" ht="12.75">
      <c r="A125" s="616"/>
      <c r="B125" s="617" t="s">
        <v>2068</v>
      </c>
      <c r="C125" s="616"/>
      <c r="D125" s="616"/>
      <c r="E125" s="616"/>
      <c r="F125" s="616"/>
      <c r="G125" s="616"/>
      <c r="H125" s="618"/>
    </row>
    <row r="126" spans="1:8" ht="12.75">
      <c r="A126" s="616">
        <v>1</v>
      </c>
      <c r="B126" s="618" t="s">
        <v>2023</v>
      </c>
      <c r="C126" s="616" t="s">
        <v>1977</v>
      </c>
      <c r="D126" s="616">
        <v>1</v>
      </c>
      <c r="E126" s="616">
        <v>1</v>
      </c>
      <c r="F126" s="616" t="s">
        <v>1978</v>
      </c>
      <c r="G126" s="616" t="s">
        <v>1975</v>
      </c>
      <c r="H126" s="618"/>
    </row>
    <row r="127" spans="1:8" ht="12.75">
      <c r="A127" s="616">
        <v>2</v>
      </c>
      <c r="B127" s="618" t="s">
        <v>2024</v>
      </c>
      <c r="C127" s="616" t="s">
        <v>1977</v>
      </c>
      <c r="D127" s="616">
        <v>1</v>
      </c>
      <c r="E127" s="616">
        <v>1</v>
      </c>
      <c r="F127" s="616" t="s">
        <v>1978</v>
      </c>
      <c r="G127" s="616" t="s">
        <v>1975</v>
      </c>
      <c r="H127" s="618"/>
    </row>
    <row r="128" spans="1:8" ht="12.75">
      <c r="A128" s="616"/>
      <c r="B128" s="617" t="s">
        <v>2054</v>
      </c>
      <c r="C128" s="616"/>
      <c r="D128" s="616"/>
      <c r="E128" s="616"/>
      <c r="F128" s="616"/>
      <c r="G128" s="616"/>
      <c r="H128" s="618"/>
    </row>
    <row r="129" spans="1:8" ht="12.75">
      <c r="A129" s="616">
        <v>1</v>
      </c>
      <c r="B129" s="618" t="s">
        <v>2069</v>
      </c>
      <c r="C129" s="616" t="s">
        <v>1777</v>
      </c>
      <c r="D129" s="616">
        <v>1</v>
      </c>
      <c r="E129" s="616">
        <v>1</v>
      </c>
      <c r="F129" s="616" t="s">
        <v>1978</v>
      </c>
      <c r="G129" s="616" t="s">
        <v>2005</v>
      </c>
      <c r="H129" s="618"/>
    </row>
    <row r="130" spans="1:8" ht="12.75">
      <c r="A130" s="616"/>
      <c r="B130" s="617" t="s">
        <v>2049</v>
      </c>
      <c r="C130" s="616"/>
      <c r="D130" s="616"/>
      <c r="E130" s="616"/>
      <c r="F130" s="616"/>
      <c r="G130" s="616"/>
      <c r="H130" s="618"/>
    </row>
    <row r="131" spans="1:8" ht="12.75">
      <c r="A131" s="616">
        <v>1</v>
      </c>
      <c r="B131" s="618" t="s">
        <v>2070</v>
      </c>
      <c r="C131" s="616" t="s">
        <v>1777</v>
      </c>
      <c r="D131" s="616">
        <v>1</v>
      </c>
      <c r="E131" s="616">
        <v>1</v>
      </c>
      <c r="F131" s="616" t="s">
        <v>1978</v>
      </c>
      <c r="G131" s="616" t="s">
        <v>1975</v>
      </c>
      <c r="H131" s="618"/>
    </row>
    <row r="132" spans="1:8" ht="12.75">
      <c r="A132" s="616"/>
      <c r="B132" s="617" t="s">
        <v>2071</v>
      </c>
      <c r="C132" s="616"/>
      <c r="D132" s="616"/>
      <c r="E132" s="616"/>
      <c r="F132" s="616"/>
      <c r="G132" s="616"/>
      <c r="H132" s="618"/>
    </row>
    <row r="133" spans="1:8" ht="12.75">
      <c r="A133" s="616">
        <v>1</v>
      </c>
      <c r="B133" s="618" t="s">
        <v>2043</v>
      </c>
      <c r="C133" s="616" t="s">
        <v>2072</v>
      </c>
      <c r="D133" s="616">
        <v>1</v>
      </c>
      <c r="E133" s="616">
        <v>1</v>
      </c>
      <c r="F133" s="616" t="s">
        <v>1978</v>
      </c>
      <c r="G133" s="616" t="s">
        <v>1975</v>
      </c>
      <c r="H133" s="618"/>
    </row>
    <row r="134" spans="1:8" ht="12.75">
      <c r="A134" s="616">
        <v>2</v>
      </c>
      <c r="B134" s="618" t="s">
        <v>2024</v>
      </c>
      <c r="C134" s="616" t="s">
        <v>1977</v>
      </c>
      <c r="D134" s="616">
        <v>1</v>
      </c>
      <c r="E134" s="616">
        <v>1</v>
      </c>
      <c r="F134" s="616" t="s">
        <v>1978</v>
      </c>
      <c r="G134" s="616" t="s">
        <v>1975</v>
      </c>
      <c r="H134" s="618"/>
    </row>
    <row r="135" spans="1:8" ht="12.75">
      <c r="A135" s="616"/>
      <c r="B135" s="617" t="s">
        <v>2073</v>
      </c>
      <c r="C135" s="616"/>
      <c r="D135" s="616"/>
      <c r="E135" s="616"/>
      <c r="F135" s="616"/>
      <c r="G135" s="616"/>
      <c r="H135" s="618"/>
    </row>
    <row r="136" spans="1:8" ht="12.75">
      <c r="A136" s="616">
        <v>1</v>
      </c>
      <c r="B136" s="618" t="s">
        <v>2043</v>
      </c>
      <c r="C136" s="616" t="s">
        <v>2072</v>
      </c>
      <c r="D136" s="616">
        <v>1</v>
      </c>
      <c r="E136" s="616">
        <v>1</v>
      </c>
      <c r="F136" s="616" t="s">
        <v>1978</v>
      </c>
      <c r="G136" s="616" t="s">
        <v>1975</v>
      </c>
      <c r="H136" s="618"/>
    </row>
    <row r="137" spans="1:8" ht="12.75">
      <c r="A137" s="616"/>
      <c r="B137" s="617" t="s">
        <v>2074</v>
      </c>
      <c r="C137" s="616"/>
      <c r="D137" s="616"/>
      <c r="E137" s="616"/>
      <c r="F137" s="616"/>
      <c r="G137" s="616"/>
      <c r="H137" s="618"/>
    </row>
    <row r="138" spans="1:8" ht="12.75">
      <c r="A138" s="616">
        <v>1</v>
      </c>
      <c r="B138" s="618" t="s">
        <v>2023</v>
      </c>
      <c r="C138" s="616" t="s">
        <v>2075</v>
      </c>
      <c r="D138" s="616">
        <v>1</v>
      </c>
      <c r="E138" s="616">
        <v>1</v>
      </c>
      <c r="F138" s="616" t="s">
        <v>1978</v>
      </c>
      <c r="G138" s="616" t="s">
        <v>1975</v>
      </c>
      <c r="H138" s="618"/>
    </row>
    <row r="139" spans="1:8" ht="12.75">
      <c r="A139" s="616"/>
      <c r="B139" s="617" t="s">
        <v>2076</v>
      </c>
      <c r="C139" s="616"/>
      <c r="D139" s="616"/>
      <c r="E139" s="616">
        <v>1</v>
      </c>
      <c r="F139" s="616"/>
      <c r="G139" s="616"/>
      <c r="H139" s="618"/>
    </row>
    <row r="140" spans="1:8" ht="12.75">
      <c r="A140" s="616">
        <v>1</v>
      </c>
      <c r="B140" s="618" t="s">
        <v>2043</v>
      </c>
      <c r="C140" s="616" t="s">
        <v>2072</v>
      </c>
      <c r="D140" s="616">
        <v>1</v>
      </c>
      <c r="E140" s="616">
        <v>1</v>
      </c>
      <c r="F140" s="616" t="s">
        <v>1978</v>
      </c>
      <c r="G140" s="616" t="s">
        <v>1975</v>
      </c>
      <c r="H140" s="618"/>
    </row>
    <row r="141" spans="1:8" ht="12.75">
      <c r="A141" s="616"/>
      <c r="B141" s="617" t="s">
        <v>1715</v>
      </c>
      <c r="C141" s="616"/>
      <c r="D141" s="616"/>
      <c r="E141" s="616"/>
      <c r="F141" s="616"/>
      <c r="G141" s="616"/>
      <c r="H141" s="618"/>
    </row>
    <row r="142" spans="1:8" ht="12.75">
      <c r="A142" s="616">
        <v>1</v>
      </c>
      <c r="B142" s="618" t="s">
        <v>2045</v>
      </c>
      <c r="C142" s="616" t="s">
        <v>1777</v>
      </c>
      <c r="D142" s="616">
        <v>1</v>
      </c>
      <c r="E142" s="616">
        <v>1</v>
      </c>
      <c r="F142" s="616" t="s">
        <v>1978</v>
      </c>
      <c r="G142" s="616" t="s">
        <v>1718</v>
      </c>
      <c r="H142" s="618"/>
    </row>
    <row r="143" spans="1:8" ht="12.75">
      <c r="A143" s="616">
        <v>2</v>
      </c>
      <c r="B143" s="618" t="s">
        <v>2046</v>
      </c>
      <c r="C143" s="616" t="s">
        <v>1777</v>
      </c>
      <c r="D143" s="616">
        <v>1</v>
      </c>
      <c r="E143" s="616">
        <v>1</v>
      </c>
      <c r="F143" s="616" t="s">
        <v>1978</v>
      </c>
      <c r="G143" s="616" t="s">
        <v>1975</v>
      </c>
      <c r="H143" s="618"/>
    </row>
    <row r="144" spans="1:8" ht="12.75">
      <c r="A144" s="616"/>
      <c r="B144" s="617" t="s">
        <v>1719</v>
      </c>
      <c r="C144" s="616"/>
      <c r="D144" s="616"/>
      <c r="E144" s="616"/>
      <c r="F144" s="616"/>
      <c r="G144" s="616"/>
      <c r="H144" s="618"/>
    </row>
    <row r="145" spans="1:8" ht="12.75">
      <c r="A145" s="616">
        <v>1</v>
      </c>
      <c r="B145" s="618" t="s">
        <v>2045</v>
      </c>
      <c r="C145" s="616" t="s">
        <v>1777</v>
      </c>
      <c r="D145" s="616">
        <v>1</v>
      </c>
      <c r="E145" s="616">
        <v>1</v>
      </c>
      <c r="F145" s="616" t="s">
        <v>1978</v>
      </c>
      <c r="G145" s="616" t="s">
        <v>2050</v>
      </c>
      <c r="H145" s="618"/>
    </row>
    <row r="146" spans="1:8" ht="12.75">
      <c r="A146" s="616">
        <v>2</v>
      </c>
      <c r="B146" s="618" t="s">
        <v>2023</v>
      </c>
      <c r="C146" s="616" t="s">
        <v>2072</v>
      </c>
      <c r="D146" s="616">
        <v>1</v>
      </c>
      <c r="E146" s="616">
        <v>1</v>
      </c>
      <c r="F146" s="616" t="s">
        <v>1978</v>
      </c>
      <c r="G146" s="616" t="s">
        <v>1975</v>
      </c>
      <c r="H146" s="618"/>
    </row>
    <row r="147" spans="1:8" ht="12.75">
      <c r="A147" s="616"/>
      <c r="B147" s="617" t="s">
        <v>1714</v>
      </c>
      <c r="C147" s="616"/>
      <c r="D147" s="616"/>
      <c r="E147" s="616"/>
      <c r="F147" s="616"/>
      <c r="G147" s="616"/>
      <c r="H147" s="618"/>
    </row>
    <row r="148" spans="1:8" ht="12.75">
      <c r="A148" s="616">
        <v>1</v>
      </c>
      <c r="B148" s="618" t="s">
        <v>2045</v>
      </c>
      <c r="C148" s="616" t="s">
        <v>1777</v>
      </c>
      <c r="D148" s="616">
        <v>1</v>
      </c>
      <c r="E148" s="616">
        <v>1</v>
      </c>
      <c r="F148" s="616" t="s">
        <v>1978</v>
      </c>
      <c r="G148" s="616" t="s">
        <v>1975</v>
      </c>
      <c r="H148" s="618"/>
    </row>
    <row r="149" spans="1:8" ht="12.75">
      <c r="A149" s="616">
        <v>2</v>
      </c>
      <c r="B149" s="618" t="s">
        <v>2046</v>
      </c>
      <c r="C149" s="616" t="s">
        <v>1777</v>
      </c>
      <c r="D149" s="616">
        <v>1</v>
      </c>
      <c r="E149" s="616">
        <v>1</v>
      </c>
      <c r="F149" s="616" t="s">
        <v>1978</v>
      </c>
      <c r="G149" s="616" t="s">
        <v>1975</v>
      </c>
      <c r="H149" s="618"/>
    </row>
    <row r="150" spans="1:8" ht="12.75">
      <c r="A150" s="616">
        <v>3</v>
      </c>
      <c r="B150" s="618" t="s">
        <v>2043</v>
      </c>
      <c r="C150" s="616" t="s">
        <v>2072</v>
      </c>
      <c r="D150" s="616">
        <v>1</v>
      </c>
      <c r="E150" s="616">
        <v>1</v>
      </c>
      <c r="F150" s="616" t="s">
        <v>1978</v>
      </c>
      <c r="G150" s="616" t="s">
        <v>1975</v>
      </c>
      <c r="H150" s="618"/>
    </row>
    <row r="151" spans="1:8" ht="12.75">
      <c r="A151" s="616">
        <v>4</v>
      </c>
      <c r="B151" s="618" t="s">
        <v>2024</v>
      </c>
      <c r="C151" s="616" t="s">
        <v>2072</v>
      </c>
      <c r="D151" s="616">
        <v>1</v>
      </c>
      <c r="E151" s="616">
        <v>1</v>
      </c>
      <c r="F151" s="616" t="s">
        <v>1978</v>
      </c>
      <c r="G151" s="616" t="s">
        <v>1975</v>
      </c>
      <c r="H151" s="618"/>
    </row>
    <row r="152" spans="1:8" ht="12.75">
      <c r="A152" s="616"/>
      <c r="B152" s="617" t="s">
        <v>1720</v>
      </c>
      <c r="C152" s="616"/>
      <c r="D152" s="616"/>
      <c r="E152" s="616"/>
      <c r="F152" s="616"/>
      <c r="G152" s="616"/>
      <c r="H152" s="618"/>
    </row>
    <row r="153" spans="1:8" ht="12.75">
      <c r="A153" s="616">
        <v>1</v>
      </c>
      <c r="B153" s="618" t="s">
        <v>2023</v>
      </c>
      <c r="C153" s="616" t="s">
        <v>2072</v>
      </c>
      <c r="D153" s="616">
        <v>1</v>
      </c>
      <c r="E153" s="616">
        <v>1</v>
      </c>
      <c r="F153" s="616" t="s">
        <v>1978</v>
      </c>
      <c r="G153" s="616" t="s">
        <v>1975</v>
      </c>
      <c r="H153" s="618"/>
    </row>
    <row r="154" spans="1:8" ht="12.75">
      <c r="A154" s="619">
        <v>2</v>
      </c>
      <c r="B154" s="620" t="s">
        <v>2024</v>
      </c>
      <c r="C154" s="619" t="s">
        <v>2072</v>
      </c>
      <c r="D154" s="616">
        <v>1</v>
      </c>
      <c r="E154" s="619">
        <v>1</v>
      </c>
      <c r="F154" s="616" t="s">
        <v>1978</v>
      </c>
      <c r="G154" s="619" t="s">
        <v>1975</v>
      </c>
      <c r="H154" s="618"/>
    </row>
    <row r="155" spans="1:8" ht="12.75">
      <c r="A155" s="616"/>
      <c r="B155" s="617" t="s">
        <v>793</v>
      </c>
      <c r="C155" s="616"/>
      <c r="D155" s="616"/>
      <c r="E155" s="616"/>
      <c r="F155" s="616"/>
      <c r="G155" s="616"/>
      <c r="H155" s="618"/>
    </row>
    <row r="156" spans="1:8" ht="12.75">
      <c r="A156" s="616">
        <v>1</v>
      </c>
      <c r="B156" s="618" t="s">
        <v>2045</v>
      </c>
      <c r="C156" s="616" t="s">
        <v>1777</v>
      </c>
      <c r="D156" s="616">
        <v>1</v>
      </c>
      <c r="E156" s="616">
        <v>1</v>
      </c>
      <c r="F156" s="616" t="s">
        <v>1978</v>
      </c>
      <c r="G156" s="616" t="s">
        <v>1975</v>
      </c>
      <c r="H156" s="618"/>
    </row>
    <row r="157" spans="1:8" ht="12.75">
      <c r="A157" s="616">
        <v>2</v>
      </c>
      <c r="B157" s="618" t="s">
        <v>2023</v>
      </c>
      <c r="C157" s="616" t="s">
        <v>2072</v>
      </c>
      <c r="D157" s="616">
        <v>1</v>
      </c>
      <c r="E157" s="616">
        <v>1</v>
      </c>
      <c r="F157" s="616" t="s">
        <v>1978</v>
      </c>
      <c r="G157" s="616" t="s">
        <v>1975</v>
      </c>
      <c r="H157" s="618"/>
    </row>
    <row r="158" spans="1:8" ht="12.75" customHeight="1">
      <c r="A158" s="616"/>
      <c r="B158" s="617" t="s">
        <v>794</v>
      </c>
      <c r="C158" s="616"/>
      <c r="D158" s="616"/>
      <c r="E158" s="616"/>
      <c r="F158" s="616"/>
      <c r="G158" s="616"/>
      <c r="H158" s="618"/>
    </row>
    <row r="159" spans="1:8" ht="12" customHeight="1">
      <c r="A159" s="616">
        <v>1</v>
      </c>
      <c r="B159" s="618" t="s">
        <v>2045</v>
      </c>
      <c r="C159" s="616" t="s">
        <v>1777</v>
      </c>
      <c r="D159" s="616">
        <v>1</v>
      </c>
      <c r="E159" s="616">
        <v>1</v>
      </c>
      <c r="F159" s="616" t="s">
        <v>1978</v>
      </c>
      <c r="G159" s="616" t="s">
        <v>1975</v>
      </c>
      <c r="H159" s="618"/>
    </row>
    <row r="160" spans="1:8" ht="12.75">
      <c r="A160" s="616">
        <v>2</v>
      </c>
      <c r="B160" s="618" t="s">
        <v>2046</v>
      </c>
      <c r="C160" s="616" t="s">
        <v>1777</v>
      </c>
      <c r="D160" s="616">
        <v>1</v>
      </c>
      <c r="E160" s="616">
        <v>1</v>
      </c>
      <c r="F160" s="616" t="s">
        <v>1978</v>
      </c>
      <c r="G160" s="616" t="s">
        <v>1975</v>
      </c>
      <c r="H160" s="618"/>
    </row>
    <row r="161" spans="1:8" ht="12.75">
      <c r="A161" s="616">
        <v>3</v>
      </c>
      <c r="B161" s="618" t="s">
        <v>2023</v>
      </c>
      <c r="C161" s="616" t="s">
        <v>2072</v>
      </c>
      <c r="D161" s="616">
        <v>1</v>
      </c>
      <c r="E161" s="616">
        <v>1</v>
      </c>
      <c r="F161" s="616" t="s">
        <v>1978</v>
      </c>
      <c r="G161" s="616" t="s">
        <v>1975</v>
      </c>
      <c r="H161" s="618"/>
    </row>
    <row r="162" spans="1:8" ht="12.75">
      <c r="A162" s="616">
        <v>4</v>
      </c>
      <c r="B162" s="618" t="s">
        <v>2024</v>
      </c>
      <c r="C162" s="616" t="s">
        <v>2072</v>
      </c>
      <c r="D162" s="616">
        <v>1</v>
      </c>
      <c r="E162" s="616">
        <v>1</v>
      </c>
      <c r="F162" s="616" t="s">
        <v>1978</v>
      </c>
      <c r="G162" s="616" t="s">
        <v>1975</v>
      </c>
      <c r="H162" s="618"/>
    </row>
    <row r="163" spans="1:8" ht="12.75">
      <c r="A163" s="616"/>
      <c r="B163" s="617" t="s">
        <v>795</v>
      </c>
      <c r="C163" s="616"/>
      <c r="D163" s="616"/>
      <c r="E163" s="616"/>
      <c r="F163" s="616"/>
      <c r="G163" s="616"/>
      <c r="H163" s="618"/>
    </row>
    <row r="164" spans="1:8" ht="12.75">
      <c r="A164" s="616">
        <v>3</v>
      </c>
      <c r="B164" s="618" t="s">
        <v>2023</v>
      </c>
      <c r="C164" s="616" t="s">
        <v>2072</v>
      </c>
      <c r="D164" s="616">
        <v>1</v>
      </c>
      <c r="E164" s="616">
        <v>1</v>
      </c>
      <c r="F164" s="616" t="s">
        <v>1978</v>
      </c>
      <c r="G164" s="616" t="s">
        <v>1975</v>
      </c>
      <c r="H164" s="618"/>
    </row>
    <row r="165" spans="1:8" ht="12.75">
      <c r="A165" s="616">
        <v>2</v>
      </c>
      <c r="B165" s="618" t="s">
        <v>2048</v>
      </c>
      <c r="C165" s="616" t="s">
        <v>2072</v>
      </c>
      <c r="D165" s="616">
        <v>1</v>
      </c>
      <c r="E165" s="616">
        <v>1</v>
      </c>
      <c r="F165" s="616" t="s">
        <v>1978</v>
      </c>
      <c r="G165" s="616" t="s">
        <v>1975</v>
      </c>
      <c r="H165" s="618"/>
    </row>
    <row r="166" spans="1:8" ht="12.75">
      <c r="A166" s="616"/>
      <c r="B166" s="617" t="s">
        <v>796</v>
      </c>
      <c r="C166" s="616"/>
      <c r="D166" s="616"/>
      <c r="E166" s="616"/>
      <c r="F166" s="616"/>
      <c r="G166" s="616"/>
      <c r="H166" s="618"/>
    </row>
    <row r="167" spans="1:8" ht="12.75">
      <c r="A167" s="616">
        <v>1</v>
      </c>
      <c r="B167" s="618" t="s">
        <v>2023</v>
      </c>
      <c r="C167" s="616" t="s">
        <v>2072</v>
      </c>
      <c r="D167" s="616">
        <v>1</v>
      </c>
      <c r="E167" s="616">
        <v>1</v>
      </c>
      <c r="F167" s="616" t="s">
        <v>1978</v>
      </c>
      <c r="G167" s="616" t="s">
        <v>1975</v>
      </c>
      <c r="H167" s="618"/>
    </row>
    <row r="168" spans="1:8" ht="12.75">
      <c r="A168" s="616">
        <v>2</v>
      </c>
      <c r="B168" s="618" t="s">
        <v>2024</v>
      </c>
      <c r="C168" s="616" t="s">
        <v>2072</v>
      </c>
      <c r="D168" s="616">
        <v>1</v>
      </c>
      <c r="E168" s="616">
        <v>1</v>
      </c>
      <c r="F168" s="616" t="s">
        <v>1978</v>
      </c>
      <c r="G168" s="616" t="s">
        <v>1975</v>
      </c>
      <c r="H168" s="618"/>
    </row>
    <row r="169" spans="1:8" ht="12.75">
      <c r="A169" s="616"/>
      <c r="B169" s="617" t="s">
        <v>797</v>
      </c>
      <c r="C169" s="616"/>
      <c r="D169" s="616"/>
      <c r="E169" s="616"/>
      <c r="F169" s="616"/>
      <c r="G169" s="616"/>
      <c r="H169" s="618"/>
    </row>
    <row r="170" spans="1:8" ht="12.75">
      <c r="A170" s="616">
        <v>1</v>
      </c>
      <c r="B170" s="618" t="s">
        <v>2043</v>
      </c>
      <c r="C170" s="616" t="s">
        <v>2072</v>
      </c>
      <c r="D170" s="616">
        <v>1</v>
      </c>
      <c r="E170" s="616">
        <v>1</v>
      </c>
      <c r="F170" s="616" t="s">
        <v>1978</v>
      </c>
      <c r="G170" s="616" t="s">
        <v>1975</v>
      </c>
      <c r="H170" s="618"/>
    </row>
    <row r="171" spans="1:8" ht="12.75">
      <c r="A171" s="616"/>
      <c r="B171" s="617" t="s">
        <v>522</v>
      </c>
      <c r="C171" s="616"/>
      <c r="D171" s="616"/>
      <c r="E171" s="616"/>
      <c r="F171" s="616"/>
      <c r="G171" s="616"/>
      <c r="H171" s="618"/>
    </row>
    <row r="172" spans="1:8" ht="12.75">
      <c r="A172" s="616">
        <v>1</v>
      </c>
      <c r="B172" s="618" t="s">
        <v>2045</v>
      </c>
      <c r="C172" s="616" t="s">
        <v>1777</v>
      </c>
      <c r="D172" s="616">
        <v>1</v>
      </c>
      <c r="E172" s="616">
        <v>1</v>
      </c>
      <c r="F172" s="616" t="s">
        <v>1978</v>
      </c>
      <c r="G172" s="616" t="s">
        <v>1975</v>
      </c>
      <c r="H172" s="618"/>
    </row>
    <row r="173" spans="1:8" ht="12.75">
      <c r="A173" s="616">
        <v>2</v>
      </c>
      <c r="B173" s="618" t="s">
        <v>2046</v>
      </c>
      <c r="C173" s="616" t="s">
        <v>1777</v>
      </c>
      <c r="D173" s="616">
        <v>1</v>
      </c>
      <c r="E173" s="616">
        <v>1</v>
      </c>
      <c r="F173" s="616" t="s">
        <v>1978</v>
      </c>
      <c r="G173" s="616" t="s">
        <v>1975</v>
      </c>
      <c r="H173" s="618"/>
    </row>
    <row r="174" spans="1:8" ht="12.75">
      <c r="A174" s="616">
        <v>3</v>
      </c>
      <c r="B174" s="618" t="s">
        <v>2043</v>
      </c>
      <c r="C174" s="616" t="s">
        <v>2072</v>
      </c>
      <c r="D174" s="616">
        <v>1</v>
      </c>
      <c r="E174" s="616">
        <v>1</v>
      </c>
      <c r="F174" s="616" t="s">
        <v>1978</v>
      </c>
      <c r="G174" s="616" t="s">
        <v>1975</v>
      </c>
      <c r="H174" s="618"/>
    </row>
    <row r="175" spans="1:8" ht="12.75">
      <c r="A175" s="616">
        <v>4</v>
      </c>
      <c r="B175" s="618" t="s">
        <v>2080</v>
      </c>
      <c r="C175" s="616" t="s">
        <v>1977</v>
      </c>
      <c r="D175" s="616">
        <v>1</v>
      </c>
      <c r="E175" s="616">
        <v>1</v>
      </c>
      <c r="F175" s="616" t="s">
        <v>1978</v>
      </c>
      <c r="G175" s="616" t="s">
        <v>1975</v>
      </c>
      <c r="H175" s="618"/>
    </row>
    <row r="176" spans="1:8" ht="12.75">
      <c r="A176" s="616"/>
      <c r="B176" s="617" t="s">
        <v>798</v>
      </c>
      <c r="C176" s="616"/>
      <c r="D176" s="616"/>
      <c r="E176" s="616"/>
      <c r="F176" s="616"/>
      <c r="G176" s="616"/>
      <c r="H176" s="618"/>
    </row>
    <row r="177" spans="1:8" ht="12.75">
      <c r="A177" s="616">
        <v>1</v>
      </c>
      <c r="B177" s="618" t="s">
        <v>2023</v>
      </c>
      <c r="C177" s="616" t="s">
        <v>1977</v>
      </c>
      <c r="D177" s="616">
        <v>1</v>
      </c>
      <c r="E177" s="616">
        <v>1</v>
      </c>
      <c r="F177" s="616" t="s">
        <v>1978</v>
      </c>
      <c r="G177" s="616" t="s">
        <v>1975</v>
      </c>
      <c r="H177" s="618"/>
    </row>
    <row r="178" spans="1:8" ht="12.75">
      <c r="A178" s="616">
        <v>2</v>
      </c>
      <c r="B178" s="618" t="s">
        <v>2048</v>
      </c>
      <c r="C178" s="616" t="s">
        <v>1977</v>
      </c>
      <c r="D178" s="616">
        <v>1</v>
      </c>
      <c r="E178" s="616">
        <v>1</v>
      </c>
      <c r="F178" s="616" t="s">
        <v>1978</v>
      </c>
      <c r="G178" s="616" t="s">
        <v>1975</v>
      </c>
      <c r="H178" s="618"/>
    </row>
    <row r="179" spans="1:8" ht="12.75">
      <c r="A179" s="616"/>
      <c r="B179" s="617" t="s">
        <v>799</v>
      </c>
      <c r="C179" s="616"/>
      <c r="D179" s="616"/>
      <c r="E179" s="616"/>
      <c r="F179" s="616"/>
      <c r="G179" s="616"/>
      <c r="H179" s="618"/>
    </row>
    <row r="180" spans="1:8" ht="12.75">
      <c r="A180" s="616">
        <v>1</v>
      </c>
      <c r="B180" s="618" t="s">
        <v>2053</v>
      </c>
      <c r="C180" s="616" t="s">
        <v>1777</v>
      </c>
      <c r="D180" s="616">
        <v>1</v>
      </c>
      <c r="E180" s="616">
        <v>1</v>
      </c>
      <c r="F180" s="616" t="s">
        <v>1978</v>
      </c>
      <c r="G180" s="616" t="s">
        <v>1975</v>
      </c>
      <c r="H180" s="618"/>
    </row>
    <row r="181" spans="1:8" ht="12.75">
      <c r="A181" s="616">
        <v>2</v>
      </c>
      <c r="B181" s="618" t="s">
        <v>2046</v>
      </c>
      <c r="C181" s="616" t="s">
        <v>1777</v>
      </c>
      <c r="D181" s="616">
        <v>1</v>
      </c>
      <c r="E181" s="616">
        <v>1</v>
      </c>
      <c r="F181" s="616" t="s">
        <v>1978</v>
      </c>
      <c r="G181" s="616" t="s">
        <v>1975</v>
      </c>
      <c r="H181" s="618"/>
    </row>
    <row r="182" spans="1:8" ht="12.75">
      <c r="A182" s="616">
        <v>3</v>
      </c>
      <c r="B182" s="618" t="s">
        <v>539</v>
      </c>
      <c r="C182" s="616" t="s">
        <v>800</v>
      </c>
      <c r="D182" s="616">
        <v>1</v>
      </c>
      <c r="E182" s="616">
        <v>1</v>
      </c>
      <c r="F182" s="616" t="s">
        <v>1978</v>
      </c>
      <c r="G182" s="616" t="s">
        <v>1975</v>
      </c>
      <c r="H182" s="618"/>
    </row>
    <row r="183" spans="1:8" ht="12.75">
      <c r="A183" s="616">
        <v>4</v>
      </c>
      <c r="B183" s="618" t="s">
        <v>540</v>
      </c>
      <c r="C183" s="616" t="s">
        <v>800</v>
      </c>
      <c r="D183" s="616">
        <v>1</v>
      </c>
      <c r="E183" s="616">
        <v>1</v>
      </c>
      <c r="F183" s="616" t="s">
        <v>1978</v>
      </c>
      <c r="G183" s="616" t="s">
        <v>1975</v>
      </c>
      <c r="H183" s="618"/>
    </row>
    <row r="184" spans="1:8" ht="12.75">
      <c r="A184" s="1575" t="s">
        <v>1681</v>
      </c>
      <c r="B184" s="1576"/>
      <c r="C184" s="1576"/>
      <c r="D184" s="1576"/>
      <c r="E184" s="1576"/>
      <c r="F184" s="1577"/>
      <c r="G184" s="616"/>
      <c r="H184" s="527"/>
    </row>
  </sheetData>
  <sheetProtection insertRows="0" deleteRows="0"/>
  <mergeCells count="2">
    <mergeCell ref="A1:H1"/>
    <mergeCell ref="A184:F184"/>
  </mergeCells>
  <printOptions/>
  <pageMargins left="0.5905511811023623" right="0.3937007874015748" top="0.5118110236220472" bottom="0.1968503937007874" header="0.5118110236220472" footer="0.1968503937007874"/>
  <pageSetup fitToHeight="8" horizontalDpi="600" verticalDpi="600" orientation="portrait" paperSize="9" scale="75" r:id="rId1"/>
  <rowBreaks count="1" manualBreakCount="1">
    <brk id="162" max="255" man="1"/>
  </rowBreaks>
</worksheet>
</file>

<file path=xl/worksheets/sheet15.xml><?xml version="1.0" encoding="utf-8"?>
<worksheet xmlns="http://schemas.openxmlformats.org/spreadsheetml/2006/main" xmlns:r="http://schemas.openxmlformats.org/officeDocument/2006/relationships">
  <sheetPr>
    <tabColor indexed="10"/>
  </sheetPr>
  <dimension ref="A1:C9"/>
  <sheetViews>
    <sheetView view="pageBreakPreview" zoomScaleSheetLayoutView="100" zoomScalePageLayoutView="0" workbookViewId="0" topLeftCell="A1">
      <selection activeCell="H14" sqref="H14"/>
    </sheetView>
  </sheetViews>
  <sheetFormatPr defaultColWidth="9.00390625" defaultRowHeight="12.75"/>
  <cols>
    <col min="1" max="1" width="42.00390625" style="18" customWidth="1"/>
    <col min="2" max="2" width="15.875" style="18" customWidth="1"/>
    <col min="3" max="3" width="16.625" style="18" customWidth="1"/>
    <col min="4" max="16384" width="9.125" style="18" customWidth="1"/>
  </cols>
  <sheetData>
    <row r="1" spans="1:3" ht="42" customHeight="1">
      <c r="A1" s="1438" t="s">
        <v>15</v>
      </c>
      <c r="B1" s="1438"/>
      <c r="C1" s="1438"/>
    </row>
    <row r="2" spans="1:3" ht="33.75" customHeight="1">
      <c r="A2" s="623" t="s">
        <v>154</v>
      </c>
      <c r="B2" s="623" t="s">
        <v>1751</v>
      </c>
      <c r="C2" s="623" t="s">
        <v>2085</v>
      </c>
    </row>
    <row r="3" spans="1:3" ht="18.75" customHeight="1">
      <c r="A3" s="624" t="s">
        <v>470</v>
      </c>
      <c r="B3" s="625">
        <v>873</v>
      </c>
      <c r="C3" s="626">
        <f>IF(B9=0,0,B3/B9)</f>
        <v>0.6578749058025621</v>
      </c>
    </row>
    <row r="4" spans="1:3" ht="18" customHeight="1">
      <c r="A4" s="624" t="s">
        <v>1699</v>
      </c>
      <c r="B4" s="625">
        <v>121</v>
      </c>
      <c r="C4" s="626">
        <f>IF(B9=0,0,B4/B9)</f>
        <v>0.09118311981914091</v>
      </c>
    </row>
    <row r="5" spans="1:3" ht="17.25" customHeight="1">
      <c r="A5" s="624" t="s">
        <v>1700</v>
      </c>
      <c r="B5" s="625">
        <v>2</v>
      </c>
      <c r="C5" s="626">
        <f>IF(B9=0,0,B5/B9)</f>
        <v>0.0015071590052750565</v>
      </c>
    </row>
    <row r="6" spans="1:3" ht="14.25" customHeight="1">
      <c r="A6" s="624" t="s">
        <v>1912</v>
      </c>
      <c r="B6" s="625">
        <v>143</v>
      </c>
      <c r="C6" s="626">
        <f>IF(B9=0,0,B6/B9)</f>
        <v>0.10776186887716654</v>
      </c>
    </row>
    <row r="7" spans="1:3" ht="14.25" customHeight="1">
      <c r="A7" s="624" t="s">
        <v>159</v>
      </c>
      <c r="B7" s="625">
        <f>98+70</f>
        <v>168</v>
      </c>
      <c r="C7" s="626">
        <f>IF(B9=0,0,B7/B9)</f>
        <v>0.12660135644310475</v>
      </c>
    </row>
    <row r="8" spans="1:3" ht="14.25" customHeight="1">
      <c r="A8" s="624" t="s">
        <v>2180</v>
      </c>
      <c r="B8" s="625">
        <v>20</v>
      </c>
      <c r="C8" s="626">
        <f>IF(B9=0,0,B8/B9)</f>
        <v>0.015071590052750565</v>
      </c>
    </row>
    <row r="9" spans="1:3" ht="12.75">
      <c r="A9" s="627" t="s">
        <v>1681</v>
      </c>
      <c r="B9" s="625">
        <f>SUM(B3:B8)</f>
        <v>1327</v>
      </c>
      <c r="C9" s="628">
        <f>SUM(C3:C8)</f>
        <v>1</v>
      </c>
    </row>
    <row r="17" ht="17.25" customHeight="1"/>
  </sheetData>
  <sheetProtection/>
  <mergeCells count="1">
    <mergeCell ref="A1:C1"/>
  </mergeCells>
  <printOptions/>
  <pageMargins left="1.3385826771653544" right="0.7480314960629921"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72"/>
  <sheetViews>
    <sheetView view="pageBreakPreview" zoomScaleSheetLayoutView="100" zoomScalePageLayoutView="0" workbookViewId="0" topLeftCell="A1">
      <selection activeCell="B5" sqref="B5"/>
    </sheetView>
  </sheetViews>
  <sheetFormatPr defaultColWidth="9.00390625" defaultRowHeight="12.75"/>
  <cols>
    <col min="1" max="1" width="4.75390625" style="99" customWidth="1"/>
    <col min="2" max="2" width="32.25390625" style="99" customWidth="1"/>
    <col min="3" max="3" width="12.25390625" style="99" customWidth="1"/>
    <col min="4" max="4" width="15.375" style="99" customWidth="1"/>
    <col min="5" max="5" width="14.75390625" style="99" customWidth="1"/>
    <col min="6" max="7" width="14.375" style="99" customWidth="1"/>
    <col min="8" max="16384" width="9.125" style="99" customWidth="1"/>
  </cols>
  <sheetData>
    <row r="1" spans="1:7" ht="34.5" customHeight="1">
      <c r="A1" s="1578" t="s">
        <v>16</v>
      </c>
      <c r="B1" s="1578"/>
      <c r="C1" s="1578"/>
      <c r="D1" s="1578"/>
      <c r="E1" s="1578"/>
      <c r="F1" s="1578"/>
      <c r="G1" s="1578"/>
    </row>
    <row r="2" spans="1:7" ht="15.75" customHeight="1">
      <c r="A2" s="1579" t="s">
        <v>2082</v>
      </c>
      <c r="B2" s="1580" t="s">
        <v>1672</v>
      </c>
      <c r="C2" s="1579" t="s">
        <v>2101</v>
      </c>
      <c r="D2" s="1583"/>
      <c r="E2" s="1583"/>
      <c r="F2" s="1583"/>
      <c r="G2" s="1584"/>
    </row>
    <row r="3" spans="1:7" ht="34.5" customHeight="1">
      <c r="A3" s="1579"/>
      <c r="B3" s="1580"/>
      <c r="C3" s="1579"/>
      <c r="D3" s="630">
        <v>2012</v>
      </c>
      <c r="E3" s="630">
        <v>2013</v>
      </c>
      <c r="F3" s="326">
        <v>2014</v>
      </c>
      <c r="G3" s="326">
        <v>2015</v>
      </c>
    </row>
    <row r="4" spans="1:8" ht="15">
      <c r="A4" s="326">
        <v>1</v>
      </c>
      <c r="B4" s="629" t="s">
        <v>1901</v>
      </c>
      <c r="C4" s="326">
        <v>3</v>
      </c>
      <c r="D4" s="630">
        <v>4</v>
      </c>
      <c r="E4" s="630">
        <v>5</v>
      </c>
      <c r="F4" s="631">
        <v>6</v>
      </c>
      <c r="G4" s="632">
        <v>7</v>
      </c>
      <c r="H4" s="131"/>
    </row>
    <row r="5" spans="1:7" ht="30">
      <c r="A5" s="1581">
        <v>1</v>
      </c>
      <c r="B5" s="633" t="s">
        <v>17</v>
      </c>
      <c r="C5" s="326" t="s">
        <v>1732</v>
      </c>
      <c r="D5" s="634">
        <f>SUM(D8,D11,D14,D17,D23,D26,D29,D35,D38,D41,D44,D47,D50,D53,D56,D59,D62,D65,D68)</f>
        <v>749</v>
      </c>
      <c r="E5" s="635">
        <f>SUM(E8,E11,E14,E17,E23,E26,E29,E35,E38,E41,E44,E47,E50,E53,E56,E59,E62,E65,E68)</f>
        <v>754</v>
      </c>
      <c r="F5" s="635">
        <f>SUM(F8,F11,F14,F17,F23,F26,F29,F35,F38,F41,F44,F47,F50,F53,F56,F59,F62,F65,F68)</f>
        <v>754</v>
      </c>
      <c r="G5" s="636">
        <f>SUM(G8,G11,G14,G17,G23,G26,G29,G35,G38,G41,G44,G47,G50,G53,G56,G59,G62,G65,G68)</f>
        <v>754</v>
      </c>
    </row>
    <row r="6" spans="1:7" ht="15">
      <c r="A6" s="1581"/>
      <c r="B6" s="1582" t="s">
        <v>1731</v>
      </c>
      <c r="C6" s="326" t="s">
        <v>1732</v>
      </c>
      <c r="D6" s="634">
        <f>SUM(D9,D12,D15,D18,D24,D27,D30,D33,D36,D39,D42,D45,D48,D51,D54,D57,D60,D63,D66,D69)</f>
        <v>123</v>
      </c>
      <c r="E6" s="634">
        <f>SUM(E9,E12,E15,E18,E24,E27,E30,E33,E36,E39,E42,E45,E48,E51,E54,E57,E60,E63,E66,E69)</f>
        <v>115</v>
      </c>
      <c r="F6" s="634">
        <f>SUM(F9,F12,F15,F18,F24,F27,F30,F33,F36,F39,F42,F45,F48,F51,F54,F57,F60,F63,F66,F69)</f>
        <v>115</v>
      </c>
      <c r="G6" s="636">
        <f>SUM(G9,G12,G15,G18,G24,G27,G30,G33,G36,G39,G42,G45,G48,G51,G54,G57,G60,G63,G66,G69)</f>
        <v>111</v>
      </c>
    </row>
    <row r="7" spans="1:7" ht="15">
      <c r="A7" s="1581"/>
      <c r="B7" s="1582"/>
      <c r="C7" s="326" t="s">
        <v>2085</v>
      </c>
      <c r="D7" s="638">
        <f>IF(D5=0,0,D6/D5)</f>
        <v>0.16421895861148197</v>
      </c>
      <c r="E7" s="638">
        <f>IF(E5=0,0,E6/E5)</f>
        <v>0.15251989389920426</v>
      </c>
      <c r="F7" s="638">
        <f>IF(F5=0,0,F6/F5)</f>
        <v>0.15251989389920426</v>
      </c>
      <c r="G7" s="639">
        <f>IF(G5=0,0,G6/G5)</f>
        <v>0.14721485411140584</v>
      </c>
    </row>
    <row r="8" spans="1:7" ht="15">
      <c r="A8" s="1581" t="s">
        <v>1874</v>
      </c>
      <c r="B8" s="633" t="s">
        <v>1950</v>
      </c>
      <c r="C8" s="326" t="s">
        <v>1732</v>
      </c>
      <c r="D8" s="634">
        <v>20</v>
      </c>
      <c r="E8" s="635">
        <v>21</v>
      </c>
      <c r="F8" s="635">
        <v>21</v>
      </c>
      <c r="G8" s="636">
        <v>21</v>
      </c>
    </row>
    <row r="9" spans="1:7" ht="15">
      <c r="A9" s="1581"/>
      <c r="B9" s="1582" t="s">
        <v>1731</v>
      </c>
      <c r="C9" s="326" t="s">
        <v>1732</v>
      </c>
      <c r="D9" s="634">
        <v>6</v>
      </c>
      <c r="E9" s="634">
        <v>6</v>
      </c>
      <c r="F9" s="634">
        <v>6</v>
      </c>
      <c r="G9" s="636">
        <v>6</v>
      </c>
    </row>
    <row r="10" spans="1:7" ht="15">
      <c r="A10" s="1581"/>
      <c r="B10" s="1582"/>
      <c r="C10" s="326" t="s">
        <v>2085</v>
      </c>
      <c r="D10" s="638">
        <f>IF(D8=0,0,D9/D8)</f>
        <v>0.3</v>
      </c>
      <c r="E10" s="638">
        <f>IF(E8=0,0,E9/E8)</f>
        <v>0.2857142857142857</v>
      </c>
      <c r="F10" s="638">
        <f>IF(F8=0,0,F9/F8)</f>
        <v>0.2857142857142857</v>
      </c>
      <c r="G10" s="638">
        <f>IF(G8=0,0,G9/G8)</f>
        <v>0.2857142857142857</v>
      </c>
    </row>
    <row r="11" spans="1:7" ht="15">
      <c r="A11" s="1581" t="s">
        <v>1875</v>
      </c>
      <c r="B11" s="633" t="s">
        <v>1951</v>
      </c>
      <c r="C11" s="326" t="s">
        <v>1732</v>
      </c>
      <c r="D11" s="634">
        <v>11</v>
      </c>
      <c r="E11" s="635">
        <v>11</v>
      </c>
      <c r="F11" s="635">
        <v>11</v>
      </c>
      <c r="G11" s="636">
        <v>11</v>
      </c>
    </row>
    <row r="12" spans="1:7" ht="15">
      <c r="A12" s="1581"/>
      <c r="B12" s="1582" t="s">
        <v>1731</v>
      </c>
      <c r="C12" s="326" t="s">
        <v>1732</v>
      </c>
      <c r="D12" s="634">
        <v>7</v>
      </c>
      <c r="E12" s="634">
        <v>7</v>
      </c>
      <c r="F12" s="634">
        <v>7</v>
      </c>
      <c r="G12" s="636">
        <v>7</v>
      </c>
    </row>
    <row r="13" spans="1:7" ht="15">
      <c r="A13" s="1581"/>
      <c r="B13" s="1582"/>
      <c r="C13" s="326" t="s">
        <v>2085</v>
      </c>
      <c r="D13" s="638">
        <f>IF(D11=0,0,D12/D11)</f>
        <v>0.6363636363636364</v>
      </c>
      <c r="E13" s="638">
        <f>IF(E11=0,0,E12/E11)</f>
        <v>0.6363636363636364</v>
      </c>
      <c r="F13" s="638">
        <f>IF(F11=0,0,F12/F11)</f>
        <v>0.6363636363636364</v>
      </c>
      <c r="G13" s="638">
        <f>IF(G11=0,0,G12/G11)</f>
        <v>0.6363636363636364</v>
      </c>
    </row>
    <row r="14" spans="1:7" ht="15">
      <c r="A14" s="1581" t="s">
        <v>1952</v>
      </c>
      <c r="B14" s="633" t="s">
        <v>18</v>
      </c>
      <c r="C14" s="326" t="s">
        <v>1732</v>
      </c>
      <c r="D14" s="634">
        <v>26</v>
      </c>
      <c r="E14" s="635">
        <v>28</v>
      </c>
      <c r="F14" s="635">
        <v>28</v>
      </c>
      <c r="G14" s="636">
        <v>28</v>
      </c>
    </row>
    <row r="15" spans="1:7" ht="15">
      <c r="A15" s="1581"/>
      <c r="B15" s="1582" t="s">
        <v>1731</v>
      </c>
      <c r="C15" s="326" t="s">
        <v>1732</v>
      </c>
      <c r="D15" s="634">
        <v>4</v>
      </c>
      <c r="E15" s="635">
        <v>4</v>
      </c>
      <c r="F15" s="635">
        <v>4</v>
      </c>
      <c r="G15" s="636">
        <v>3</v>
      </c>
    </row>
    <row r="16" spans="1:7" ht="15">
      <c r="A16" s="1581"/>
      <c r="B16" s="1582"/>
      <c r="C16" s="326" t="s">
        <v>2085</v>
      </c>
      <c r="D16" s="638">
        <f>IF(D14=0,0,D15/D14)</f>
        <v>0.15384615384615385</v>
      </c>
      <c r="E16" s="640">
        <f>IF(E14=0,0,E15/E14)</f>
        <v>0.14285714285714285</v>
      </c>
      <c r="F16" s="640">
        <f>IF(F14=0,0,F15/F14)</f>
        <v>0.14285714285714285</v>
      </c>
      <c r="G16" s="639">
        <f>IF(G14=0,0,G15/G14)</f>
        <v>0.10714285714285714</v>
      </c>
    </row>
    <row r="17" spans="1:7" ht="30">
      <c r="A17" s="1581" t="s">
        <v>1953</v>
      </c>
      <c r="B17" s="633" t="s">
        <v>19</v>
      </c>
      <c r="C17" s="326" t="s">
        <v>1732</v>
      </c>
      <c r="D17" s="634">
        <v>96</v>
      </c>
      <c r="E17" s="635">
        <v>95</v>
      </c>
      <c r="F17" s="635">
        <v>95</v>
      </c>
      <c r="G17" s="636">
        <v>95</v>
      </c>
    </row>
    <row r="18" spans="1:7" ht="15">
      <c r="A18" s="1581"/>
      <c r="B18" s="1582" t="s">
        <v>1731</v>
      </c>
      <c r="C18" s="326" t="s">
        <v>1732</v>
      </c>
      <c r="D18" s="634">
        <v>20</v>
      </c>
      <c r="E18" s="635">
        <v>19</v>
      </c>
      <c r="F18" s="635">
        <v>19</v>
      </c>
      <c r="G18" s="636">
        <v>17</v>
      </c>
    </row>
    <row r="19" spans="1:7" ht="15">
      <c r="A19" s="1581"/>
      <c r="B19" s="1582"/>
      <c r="C19" s="326" t="s">
        <v>2085</v>
      </c>
      <c r="D19" s="638">
        <f>IF(D17=0,0,D18/D17)</f>
        <v>0.20833333333333334</v>
      </c>
      <c r="E19" s="640">
        <f>IF(E17=0,0,E18/E17)</f>
        <v>0.2</v>
      </c>
      <c r="F19" s="640">
        <f>IF(F17=0,0,F18/F17)</f>
        <v>0.2</v>
      </c>
      <c r="G19" s="639">
        <f>IF(G17=0,0,G18/G17)</f>
        <v>0.17894736842105263</v>
      </c>
    </row>
    <row r="20" spans="1:7" ht="15">
      <c r="A20" s="1581"/>
      <c r="B20" s="641" t="s">
        <v>1984</v>
      </c>
      <c r="C20" s="326" t="s">
        <v>1732</v>
      </c>
      <c r="D20" s="634">
        <v>0</v>
      </c>
      <c r="E20" s="635">
        <v>0</v>
      </c>
      <c r="F20" s="635">
        <v>0</v>
      </c>
      <c r="G20" s="636">
        <v>0</v>
      </c>
    </row>
    <row r="21" spans="1:7" ht="15">
      <c r="A21" s="1581"/>
      <c r="B21" s="1582" t="s">
        <v>1731</v>
      </c>
      <c r="C21" s="326" t="s">
        <v>1732</v>
      </c>
      <c r="D21" s="634"/>
      <c r="E21" s="635"/>
      <c r="F21" s="635"/>
      <c r="G21" s="636"/>
    </row>
    <row r="22" spans="1:7" ht="15">
      <c r="A22" s="1581"/>
      <c r="B22" s="1582"/>
      <c r="C22" s="326" t="s">
        <v>2085</v>
      </c>
      <c r="D22" s="642">
        <f>IF(D20=0,0,D21/D20)</f>
        <v>0</v>
      </c>
      <c r="E22" s="643">
        <f>IF(E20=0,0,E21/E20)</f>
        <v>0</v>
      </c>
      <c r="F22" s="643">
        <f>IF(F20=0,0,F21/F20)</f>
        <v>0</v>
      </c>
      <c r="G22" s="639">
        <f>IF(G20=0,0,G21/G20)</f>
        <v>0</v>
      </c>
    </row>
    <row r="23" spans="1:7" ht="30">
      <c r="A23" s="1581" t="s">
        <v>1954</v>
      </c>
      <c r="B23" s="633" t="s">
        <v>20</v>
      </c>
      <c r="C23" s="326" t="s">
        <v>1732</v>
      </c>
      <c r="D23" s="634">
        <v>12</v>
      </c>
      <c r="E23" s="635">
        <v>12</v>
      </c>
      <c r="F23" s="635">
        <v>12</v>
      </c>
      <c r="G23" s="636">
        <v>12</v>
      </c>
    </row>
    <row r="24" spans="1:7" ht="15">
      <c r="A24" s="1581"/>
      <c r="B24" s="1582" t="s">
        <v>1731</v>
      </c>
      <c r="C24" s="326" t="s">
        <v>1732</v>
      </c>
      <c r="D24" s="634">
        <v>4</v>
      </c>
      <c r="E24" s="635">
        <v>4</v>
      </c>
      <c r="F24" s="635">
        <v>4</v>
      </c>
      <c r="G24" s="636">
        <v>4</v>
      </c>
    </row>
    <row r="25" spans="1:7" ht="15">
      <c r="A25" s="1581"/>
      <c r="B25" s="1582"/>
      <c r="C25" s="326" t="s">
        <v>2085</v>
      </c>
      <c r="D25" s="638">
        <f>IF(D23=0,0,D24/D23)</f>
        <v>0.3333333333333333</v>
      </c>
      <c r="E25" s="640">
        <f>IF(E23=0,0,E24/E23)</f>
        <v>0.3333333333333333</v>
      </c>
      <c r="F25" s="640">
        <f>IF(F23=0,0,F24/F23)</f>
        <v>0.3333333333333333</v>
      </c>
      <c r="G25" s="639">
        <f>IF(G23=0,0,G24/G23)</f>
        <v>0.3333333333333333</v>
      </c>
    </row>
    <row r="26" spans="1:7" ht="15">
      <c r="A26" s="1581" t="s">
        <v>1955</v>
      </c>
      <c r="B26" s="633" t="s">
        <v>21</v>
      </c>
      <c r="C26" s="326" t="s">
        <v>1732</v>
      </c>
      <c r="D26" s="634">
        <v>21</v>
      </c>
      <c r="E26" s="635">
        <v>21</v>
      </c>
      <c r="F26" s="635">
        <v>21</v>
      </c>
      <c r="G26" s="635">
        <v>21</v>
      </c>
    </row>
    <row r="27" spans="1:7" ht="15">
      <c r="A27" s="1581"/>
      <c r="B27" s="1582" t="s">
        <v>1731</v>
      </c>
      <c r="C27" s="326" t="s">
        <v>1732</v>
      </c>
      <c r="D27" s="634">
        <v>6</v>
      </c>
      <c r="E27" s="635">
        <v>6</v>
      </c>
      <c r="F27" s="635">
        <v>6</v>
      </c>
      <c r="G27" s="635">
        <v>6</v>
      </c>
    </row>
    <row r="28" spans="1:7" ht="15">
      <c r="A28" s="1581"/>
      <c r="B28" s="1582"/>
      <c r="C28" s="326" t="s">
        <v>2085</v>
      </c>
      <c r="D28" s="638">
        <f>IF(D26=0,0,D27/D26)</f>
        <v>0.2857142857142857</v>
      </c>
      <c r="E28" s="640">
        <f>IF(E26=0,0,E27/E26)</f>
        <v>0.2857142857142857</v>
      </c>
      <c r="F28" s="640">
        <f>IF(F26=0,0,F27/F26)</f>
        <v>0.2857142857142857</v>
      </c>
      <c r="G28" s="640">
        <f>IF(G26=0,0,G27/G26)</f>
        <v>0.2857142857142857</v>
      </c>
    </row>
    <row r="29" spans="1:7" ht="31.5" customHeight="1">
      <c r="A29" s="1581" t="s">
        <v>1956</v>
      </c>
      <c r="B29" s="633" t="s">
        <v>22</v>
      </c>
      <c r="C29" s="326" t="s">
        <v>1732</v>
      </c>
      <c r="D29" s="644">
        <v>72</v>
      </c>
      <c r="E29" s="645">
        <v>72</v>
      </c>
      <c r="F29" s="645">
        <v>72</v>
      </c>
      <c r="G29" s="645">
        <v>72</v>
      </c>
    </row>
    <row r="30" spans="1:7" ht="15">
      <c r="A30" s="1581"/>
      <c r="B30" s="1582" t="s">
        <v>1731</v>
      </c>
      <c r="C30" s="326" t="s">
        <v>1732</v>
      </c>
      <c r="D30" s="644">
        <v>22</v>
      </c>
      <c r="E30" s="645">
        <v>22</v>
      </c>
      <c r="F30" s="645">
        <v>22</v>
      </c>
      <c r="G30" s="645">
        <v>22</v>
      </c>
    </row>
    <row r="31" spans="1:7" ht="15">
      <c r="A31" s="1581"/>
      <c r="B31" s="1582"/>
      <c r="C31" s="326" t="s">
        <v>2085</v>
      </c>
      <c r="D31" s="638">
        <f>IF(D29=0,0,D30/D29)</f>
        <v>0.3055555555555556</v>
      </c>
      <c r="E31" s="640">
        <f>IF(E29=0,0,E30/E29)</f>
        <v>0.3055555555555556</v>
      </c>
      <c r="F31" s="640">
        <f>IF(F29=0,0,F30/F29)</f>
        <v>0.3055555555555556</v>
      </c>
      <c r="G31" s="640">
        <f>IF(G29=0,0,G30/G29)</f>
        <v>0.3055555555555556</v>
      </c>
    </row>
    <row r="32" spans="1:7" ht="30">
      <c r="A32" s="1581"/>
      <c r="B32" s="646" t="s">
        <v>23</v>
      </c>
      <c r="C32" s="326" t="s">
        <v>1732</v>
      </c>
      <c r="D32" s="644">
        <v>0</v>
      </c>
      <c r="E32" s="645">
        <v>0</v>
      </c>
      <c r="F32" s="645">
        <v>0</v>
      </c>
      <c r="G32" s="636">
        <v>0</v>
      </c>
    </row>
    <row r="33" spans="1:7" ht="15">
      <c r="A33" s="1581"/>
      <c r="B33" s="1582" t="s">
        <v>1731</v>
      </c>
      <c r="C33" s="326" t="s">
        <v>1732</v>
      </c>
      <c r="D33" s="644"/>
      <c r="E33" s="645"/>
      <c r="F33" s="645"/>
      <c r="G33" s="636"/>
    </row>
    <row r="34" spans="1:7" ht="15">
      <c r="A34" s="1581"/>
      <c r="B34" s="1582"/>
      <c r="C34" s="326" t="s">
        <v>2085</v>
      </c>
      <c r="D34" s="638">
        <f>IF(D32=0,0,D33/D32)</f>
        <v>0</v>
      </c>
      <c r="E34" s="640">
        <f>IF(E32=0,0,E33/E32)</f>
        <v>0</v>
      </c>
      <c r="F34" s="640">
        <f>IF(F32=0,0,F33/F32)</f>
        <v>0</v>
      </c>
      <c r="G34" s="640">
        <f>IF(G32=0,0,G33/G32)</f>
        <v>0</v>
      </c>
    </row>
    <row r="35" spans="1:7" ht="15">
      <c r="A35" s="1581" t="s">
        <v>1957</v>
      </c>
      <c r="B35" s="633" t="s">
        <v>24</v>
      </c>
      <c r="C35" s="326" t="s">
        <v>1732</v>
      </c>
      <c r="D35" s="644">
        <v>88</v>
      </c>
      <c r="E35" s="645">
        <v>88</v>
      </c>
      <c r="F35" s="645">
        <v>88</v>
      </c>
      <c r="G35" s="645">
        <v>88</v>
      </c>
    </row>
    <row r="36" spans="1:7" ht="15">
      <c r="A36" s="1581"/>
      <c r="B36" s="1582" t="s">
        <v>1731</v>
      </c>
      <c r="C36" s="326" t="s">
        <v>1732</v>
      </c>
      <c r="D36" s="644">
        <v>20</v>
      </c>
      <c r="E36" s="645">
        <v>20</v>
      </c>
      <c r="F36" s="645">
        <v>20</v>
      </c>
      <c r="G36" s="645">
        <v>20</v>
      </c>
    </row>
    <row r="37" spans="1:7" ht="15">
      <c r="A37" s="1581"/>
      <c r="B37" s="1582"/>
      <c r="C37" s="326" t="s">
        <v>2085</v>
      </c>
      <c r="D37" s="638">
        <f>IF(D35=0,0,D36/D35)</f>
        <v>0.22727272727272727</v>
      </c>
      <c r="E37" s="640">
        <f>IF(E35=0,0,E36/E35)</f>
        <v>0.22727272727272727</v>
      </c>
      <c r="F37" s="640">
        <f>IF(F35=0,0,F36/F35)</f>
        <v>0.22727272727272727</v>
      </c>
      <c r="G37" s="640">
        <f>IF(G35=0,0,G36/G35)</f>
        <v>0.22727272727272727</v>
      </c>
    </row>
    <row r="38" spans="1:7" ht="30">
      <c r="A38" s="1581" t="s">
        <v>1958</v>
      </c>
      <c r="B38" s="633" t="s">
        <v>25</v>
      </c>
      <c r="C38" s="326" t="s">
        <v>1732</v>
      </c>
      <c r="D38" s="644">
        <v>100</v>
      </c>
      <c r="E38" s="645">
        <v>102</v>
      </c>
      <c r="F38" s="645">
        <v>102</v>
      </c>
      <c r="G38" s="636">
        <v>102</v>
      </c>
    </row>
    <row r="39" spans="1:7" ht="15">
      <c r="A39" s="1581"/>
      <c r="B39" s="1582" t="s">
        <v>1731</v>
      </c>
      <c r="C39" s="326" t="s">
        <v>1732</v>
      </c>
      <c r="D39" s="644">
        <v>10</v>
      </c>
      <c r="E39" s="645">
        <v>10</v>
      </c>
      <c r="F39" s="645">
        <v>10</v>
      </c>
      <c r="G39" s="636">
        <v>10</v>
      </c>
    </row>
    <row r="40" spans="1:7" ht="15">
      <c r="A40" s="1581"/>
      <c r="B40" s="1582"/>
      <c r="C40" s="326" t="s">
        <v>2085</v>
      </c>
      <c r="D40" s="638">
        <f>IF(D38=0,0,D39/D38)</f>
        <v>0.1</v>
      </c>
      <c r="E40" s="640">
        <f>IF(E38=0,0,E39/E38)</f>
        <v>0.09803921568627451</v>
      </c>
      <c r="F40" s="640">
        <f>IF(F38=0,0,F39/F38)</f>
        <v>0.09803921568627451</v>
      </c>
      <c r="G40" s="639">
        <f>IF(G38=0,0,G39/G38)</f>
        <v>0.09803921568627451</v>
      </c>
    </row>
    <row r="41" spans="1:7" ht="30">
      <c r="A41" s="1581" t="s">
        <v>1959</v>
      </c>
      <c r="B41" s="633" t="s">
        <v>26</v>
      </c>
      <c r="C41" s="326" t="s">
        <v>1732</v>
      </c>
      <c r="D41" s="647">
        <v>0</v>
      </c>
      <c r="E41" s="648">
        <v>0</v>
      </c>
      <c r="F41" s="648">
        <v>0</v>
      </c>
      <c r="G41" s="648">
        <v>0</v>
      </c>
    </row>
    <row r="42" spans="1:7" ht="15">
      <c r="A42" s="1581"/>
      <c r="B42" s="1582" t="s">
        <v>1731</v>
      </c>
      <c r="C42" s="326" t="s">
        <v>1732</v>
      </c>
      <c r="D42" s="644"/>
      <c r="E42" s="645"/>
      <c r="F42" s="645"/>
      <c r="G42" s="636"/>
    </row>
    <row r="43" spans="1:7" ht="15">
      <c r="A43" s="1581"/>
      <c r="B43" s="1582"/>
      <c r="C43" s="326" t="s">
        <v>2085</v>
      </c>
      <c r="D43" s="638">
        <f>IF(D41=0,0,D42/D41)</f>
        <v>0</v>
      </c>
      <c r="E43" s="640">
        <f>IF(E41=0,0,E42/E41)</f>
        <v>0</v>
      </c>
      <c r="F43" s="640">
        <f>IF(F41=0,0,F42/F41)</f>
        <v>0</v>
      </c>
      <c r="G43" s="640">
        <f>IF(G41=0,0,G42/G41)</f>
        <v>0</v>
      </c>
    </row>
    <row r="44" spans="1:7" ht="30">
      <c r="A44" s="1581" t="s">
        <v>1960</v>
      </c>
      <c r="B44" s="633" t="s">
        <v>27</v>
      </c>
      <c r="C44" s="326" t="s">
        <v>1732</v>
      </c>
      <c r="D44" s="644">
        <v>30</v>
      </c>
      <c r="E44" s="645">
        <v>30</v>
      </c>
      <c r="F44" s="645">
        <v>30</v>
      </c>
      <c r="G44" s="645">
        <v>30</v>
      </c>
    </row>
    <row r="45" spans="1:7" ht="15">
      <c r="A45" s="1581"/>
      <c r="B45" s="1582" t="s">
        <v>1731</v>
      </c>
      <c r="C45" s="326" t="s">
        <v>1922</v>
      </c>
      <c r="D45" s="644">
        <v>4</v>
      </c>
      <c r="E45" s="645">
        <v>4</v>
      </c>
      <c r="F45" s="645">
        <v>4</v>
      </c>
      <c r="G45" s="645">
        <v>4</v>
      </c>
    </row>
    <row r="46" spans="1:7" ht="15">
      <c r="A46" s="1581"/>
      <c r="B46" s="1582"/>
      <c r="C46" s="326" t="s">
        <v>2085</v>
      </c>
      <c r="D46" s="638">
        <f>IF(D44=0,0,D45/D44)</f>
        <v>0.13333333333333333</v>
      </c>
      <c r="E46" s="640">
        <f>IF(E44=0,0,E45/E44)</f>
        <v>0.13333333333333333</v>
      </c>
      <c r="F46" s="640">
        <f>IF(F44=0,0,F45/F44)</f>
        <v>0.13333333333333333</v>
      </c>
      <c r="G46" s="640">
        <f>IF(G44=0,0,G45/G44)</f>
        <v>0.13333333333333333</v>
      </c>
    </row>
    <row r="47" spans="1:7" ht="15">
      <c r="A47" s="1581" t="s">
        <v>1961</v>
      </c>
      <c r="B47" s="633" t="s">
        <v>862</v>
      </c>
      <c r="C47" s="326" t="s">
        <v>1922</v>
      </c>
      <c r="D47" s="644">
        <v>101</v>
      </c>
      <c r="E47" s="645">
        <v>108</v>
      </c>
      <c r="F47" s="645">
        <v>108</v>
      </c>
      <c r="G47" s="636">
        <v>108</v>
      </c>
    </row>
    <row r="48" spans="1:7" ht="15">
      <c r="A48" s="1581"/>
      <c r="B48" s="1582" t="s">
        <v>1731</v>
      </c>
      <c r="C48" s="326" t="s">
        <v>1922</v>
      </c>
      <c r="D48" s="644">
        <v>11</v>
      </c>
      <c r="E48" s="645">
        <v>10</v>
      </c>
      <c r="F48" s="645">
        <v>10</v>
      </c>
      <c r="G48" s="636">
        <v>10</v>
      </c>
    </row>
    <row r="49" spans="1:7" ht="15">
      <c r="A49" s="1581"/>
      <c r="B49" s="1582"/>
      <c r="C49" s="326" t="s">
        <v>2085</v>
      </c>
      <c r="D49" s="638">
        <f>IF(D47=0,0,D48/D47)</f>
        <v>0.10891089108910891</v>
      </c>
      <c r="E49" s="640">
        <f>IF(E47=0,0,E48/E47)</f>
        <v>0.09259259259259259</v>
      </c>
      <c r="F49" s="640">
        <f>IF(F47=0,0,F48/F47)</f>
        <v>0.09259259259259259</v>
      </c>
      <c r="G49" s="639">
        <f>IF(G47=0,0,G48/G47)</f>
        <v>0.09259259259259259</v>
      </c>
    </row>
    <row r="50" spans="1:7" ht="30">
      <c r="A50" s="1581" t="s">
        <v>1962</v>
      </c>
      <c r="B50" s="633" t="s">
        <v>28</v>
      </c>
      <c r="C50" s="326" t="s">
        <v>1922</v>
      </c>
      <c r="D50" s="644">
        <v>67</v>
      </c>
      <c r="E50" s="645">
        <v>64</v>
      </c>
      <c r="F50" s="645">
        <v>64</v>
      </c>
      <c r="G50" s="645">
        <v>64</v>
      </c>
    </row>
    <row r="51" spans="1:7" ht="15">
      <c r="A51" s="1581"/>
      <c r="B51" s="1582" t="s">
        <v>1731</v>
      </c>
      <c r="C51" s="326" t="s">
        <v>1922</v>
      </c>
      <c r="D51" s="644">
        <v>5</v>
      </c>
      <c r="E51" s="645">
        <v>2</v>
      </c>
      <c r="F51" s="645">
        <v>2</v>
      </c>
      <c r="G51" s="645">
        <v>2</v>
      </c>
    </row>
    <row r="52" spans="1:7" ht="15">
      <c r="A52" s="1581"/>
      <c r="B52" s="1582"/>
      <c r="C52" s="326" t="s">
        <v>2085</v>
      </c>
      <c r="D52" s="638">
        <f>IF(D50=0,0,D51/D50)</f>
        <v>0.07462686567164178</v>
      </c>
      <c r="E52" s="640">
        <f>IF(E50=0,0,E51/E50)</f>
        <v>0.03125</v>
      </c>
      <c r="F52" s="640">
        <f>IF(F50=0,0,F51/F50)</f>
        <v>0.03125</v>
      </c>
      <c r="G52" s="640">
        <f>IF(G50=0,0,G51/G50)</f>
        <v>0.03125</v>
      </c>
    </row>
    <row r="53" spans="1:7" ht="15">
      <c r="A53" s="1581" t="s">
        <v>1963</v>
      </c>
      <c r="B53" s="633" t="s">
        <v>29</v>
      </c>
      <c r="C53" s="326" t="s">
        <v>1922</v>
      </c>
      <c r="D53" s="644">
        <v>96</v>
      </c>
      <c r="E53" s="645">
        <v>93</v>
      </c>
      <c r="F53" s="645">
        <v>93</v>
      </c>
      <c r="G53" s="645">
        <v>93</v>
      </c>
    </row>
    <row r="54" spans="1:7" ht="15">
      <c r="A54" s="1581"/>
      <c r="B54" s="1582" t="s">
        <v>1731</v>
      </c>
      <c r="C54" s="326" t="s">
        <v>1922</v>
      </c>
      <c r="D54" s="644">
        <v>3</v>
      </c>
      <c r="E54" s="645">
        <v>0</v>
      </c>
      <c r="F54" s="645">
        <v>0</v>
      </c>
      <c r="G54" s="645">
        <v>0</v>
      </c>
    </row>
    <row r="55" spans="1:7" ht="15">
      <c r="A55" s="1581"/>
      <c r="B55" s="1582"/>
      <c r="C55" s="326" t="s">
        <v>2085</v>
      </c>
      <c r="D55" s="638">
        <f>IF(D53=0,0,D54/D53)</f>
        <v>0.03125</v>
      </c>
      <c r="E55" s="640">
        <f>IF(E53=0,0,E54/E53)</f>
        <v>0</v>
      </c>
      <c r="F55" s="640">
        <f>IF(F53=0,0,F54/F53)</f>
        <v>0</v>
      </c>
      <c r="G55" s="640">
        <f>IF(G53=0,0,G54/G53)</f>
        <v>0</v>
      </c>
    </row>
    <row r="56" spans="1:7" ht="15">
      <c r="A56" s="1581" t="s">
        <v>1964</v>
      </c>
      <c r="B56" s="633" t="s">
        <v>30</v>
      </c>
      <c r="C56" s="326" t="s">
        <v>1922</v>
      </c>
      <c r="D56" s="647">
        <v>0</v>
      </c>
      <c r="E56" s="648">
        <v>0</v>
      </c>
      <c r="F56" s="648">
        <v>0</v>
      </c>
      <c r="G56" s="648">
        <v>0</v>
      </c>
    </row>
    <row r="57" spans="1:7" ht="15">
      <c r="A57" s="1581"/>
      <c r="B57" s="1582" t="s">
        <v>1731</v>
      </c>
      <c r="C57" s="326" t="s">
        <v>1922</v>
      </c>
      <c r="D57" s="644"/>
      <c r="E57" s="645"/>
      <c r="F57" s="645"/>
      <c r="G57" s="645"/>
    </row>
    <row r="58" spans="1:7" ht="15">
      <c r="A58" s="1581"/>
      <c r="B58" s="1582"/>
      <c r="C58" s="326" t="s">
        <v>2085</v>
      </c>
      <c r="D58" s="638">
        <f>IF(D56=0,0,D57/D56)</f>
        <v>0</v>
      </c>
      <c r="E58" s="640">
        <f>IF(E56=0,0,E57/E56)</f>
        <v>0</v>
      </c>
      <c r="F58" s="640">
        <f>IF(F56=0,0,F57/F56)</f>
        <v>0</v>
      </c>
      <c r="G58" s="640">
        <f>IF(G56=0,0,G57/G56)</f>
        <v>0</v>
      </c>
    </row>
    <row r="59" spans="1:7" ht="17.25" customHeight="1">
      <c r="A59" s="1581" t="s">
        <v>1965</v>
      </c>
      <c r="B59" s="633" t="s">
        <v>863</v>
      </c>
      <c r="C59" s="326" t="s">
        <v>1922</v>
      </c>
      <c r="D59" s="647">
        <v>0</v>
      </c>
      <c r="E59" s="648">
        <v>0</v>
      </c>
      <c r="F59" s="648">
        <v>0</v>
      </c>
      <c r="G59" s="648">
        <v>0</v>
      </c>
    </row>
    <row r="60" spans="1:7" ht="15">
      <c r="A60" s="1581"/>
      <c r="B60" s="1582" t="s">
        <v>1731</v>
      </c>
      <c r="C60" s="326" t="s">
        <v>1922</v>
      </c>
      <c r="D60" s="644"/>
      <c r="E60" s="645"/>
      <c r="F60" s="645"/>
      <c r="G60" s="645"/>
    </row>
    <row r="61" spans="1:7" ht="15">
      <c r="A61" s="1581"/>
      <c r="B61" s="1582"/>
      <c r="C61" s="326" t="s">
        <v>2085</v>
      </c>
      <c r="D61" s="638">
        <f>IF(D59=0,0,D60/D59)</f>
        <v>0</v>
      </c>
      <c r="E61" s="640">
        <f>IF(E59=0,0,E60/E59)</f>
        <v>0</v>
      </c>
      <c r="F61" s="640">
        <f>IF(F59=0,0,F60/F59)</f>
        <v>0</v>
      </c>
      <c r="G61" s="640">
        <f>IF(G59=0,0,G60/G59)</f>
        <v>0</v>
      </c>
    </row>
    <row r="62" spans="1:7" ht="30">
      <c r="A62" s="1581" t="s">
        <v>1966</v>
      </c>
      <c r="B62" s="633" t="s">
        <v>31</v>
      </c>
      <c r="C62" s="326" t="s">
        <v>1922</v>
      </c>
      <c r="D62" s="647">
        <v>0</v>
      </c>
      <c r="E62" s="648">
        <v>0</v>
      </c>
      <c r="F62" s="648">
        <v>0</v>
      </c>
      <c r="G62" s="648">
        <v>0</v>
      </c>
    </row>
    <row r="63" spans="1:7" ht="15">
      <c r="A63" s="1581"/>
      <c r="B63" s="1582" t="s">
        <v>1731</v>
      </c>
      <c r="C63" s="326" t="s">
        <v>1922</v>
      </c>
      <c r="D63" s="644"/>
      <c r="E63" s="645"/>
      <c r="F63" s="645"/>
      <c r="G63" s="645"/>
    </row>
    <row r="64" spans="1:7" ht="15">
      <c r="A64" s="1581"/>
      <c r="B64" s="1582"/>
      <c r="C64" s="326" t="s">
        <v>2085</v>
      </c>
      <c r="D64" s="638">
        <f>IF(D62=0,0,D63/D62)</f>
        <v>0</v>
      </c>
      <c r="E64" s="640">
        <f>IF(E62=0,0,E63/E62)</f>
        <v>0</v>
      </c>
      <c r="F64" s="640">
        <f>IF(F62=0,0,F63/F62)</f>
        <v>0</v>
      </c>
      <c r="G64" s="640">
        <f>IF(G62=0,0,G63/G62)</f>
        <v>0</v>
      </c>
    </row>
    <row r="65" spans="1:7" ht="15">
      <c r="A65" s="1581" t="s">
        <v>1967</v>
      </c>
      <c r="B65" s="633" t="s">
        <v>32</v>
      </c>
      <c r="C65" s="326" t="s">
        <v>1922</v>
      </c>
      <c r="D65" s="644">
        <v>9</v>
      </c>
      <c r="E65" s="645">
        <v>9</v>
      </c>
      <c r="F65" s="645">
        <v>9</v>
      </c>
      <c r="G65" s="645">
        <v>9</v>
      </c>
    </row>
    <row r="66" spans="1:7" ht="15">
      <c r="A66" s="1581"/>
      <c r="B66" s="1582" t="s">
        <v>1731</v>
      </c>
      <c r="C66" s="326" t="s">
        <v>1922</v>
      </c>
      <c r="D66" s="644">
        <v>1</v>
      </c>
      <c r="E66" s="645">
        <v>1</v>
      </c>
      <c r="F66" s="645">
        <v>1</v>
      </c>
      <c r="G66" s="645">
        <v>0</v>
      </c>
    </row>
    <row r="67" spans="1:7" ht="15">
      <c r="A67" s="1581"/>
      <c r="B67" s="1582"/>
      <c r="C67" s="326" t="s">
        <v>2085</v>
      </c>
      <c r="D67" s="638">
        <f>IF(D65=0,0,D66/D65)</f>
        <v>0.1111111111111111</v>
      </c>
      <c r="E67" s="640">
        <f>IF(E65=0,0,E66/E65)</f>
        <v>0.1111111111111111</v>
      </c>
      <c r="F67" s="640">
        <f>IF(F65=0,0,F66/F65)</f>
        <v>0.1111111111111111</v>
      </c>
      <c r="G67" s="640">
        <f>IF(G65=0,0,G66/G65)</f>
        <v>0</v>
      </c>
    </row>
    <row r="68" spans="1:7" ht="30">
      <c r="A68" s="1581" t="s">
        <v>33</v>
      </c>
      <c r="B68" s="637" t="s">
        <v>34</v>
      </c>
      <c r="C68" s="326" t="s">
        <v>1922</v>
      </c>
      <c r="D68" s="647">
        <v>0</v>
      </c>
      <c r="E68" s="648">
        <v>0</v>
      </c>
      <c r="F68" s="648">
        <v>0</v>
      </c>
      <c r="G68" s="648">
        <v>0</v>
      </c>
    </row>
    <row r="69" spans="1:7" ht="15">
      <c r="A69" s="1581"/>
      <c r="B69" s="1582" t="s">
        <v>1731</v>
      </c>
      <c r="C69" s="326" t="s">
        <v>1922</v>
      </c>
      <c r="D69" s="638"/>
      <c r="E69" s="640"/>
      <c r="F69" s="640"/>
      <c r="G69" s="640"/>
    </row>
    <row r="70" spans="1:7" ht="15">
      <c r="A70" s="1581"/>
      <c r="B70" s="1582"/>
      <c r="C70" s="326" t="s">
        <v>2085</v>
      </c>
      <c r="D70" s="639">
        <f>IF(D68=0,0,D69/D68)</f>
        <v>0</v>
      </c>
      <c r="E70" s="649">
        <f>IF(E68=0,0,E69/E68)</f>
        <v>0</v>
      </c>
      <c r="F70" s="649">
        <f>IF(F68=0,0,F69/F68)</f>
        <v>0</v>
      </c>
      <c r="G70" s="649">
        <f>IF(G68=0,0,G69/G68)</f>
        <v>0</v>
      </c>
    </row>
    <row r="71" spans="1:7" ht="15">
      <c r="A71" s="1585" t="s">
        <v>1985</v>
      </c>
      <c r="B71" s="1585"/>
      <c r="C71" s="1585"/>
      <c r="D71" s="1585"/>
      <c r="E71" s="1585"/>
      <c r="F71" s="650"/>
      <c r="G71" s="338"/>
    </row>
    <row r="72" spans="1:7" ht="15">
      <c r="A72" s="334"/>
      <c r="B72" s="334"/>
      <c r="C72" s="334"/>
      <c r="D72" s="334"/>
      <c r="E72" s="334"/>
      <c r="F72" s="650"/>
      <c r="G72" s="338"/>
    </row>
  </sheetData>
  <sheetProtection/>
  <mergeCells count="48">
    <mergeCell ref="A68:A70"/>
    <mergeCell ref="B69:B70"/>
    <mergeCell ref="A71:E71"/>
    <mergeCell ref="A59:A61"/>
    <mergeCell ref="B60:B61"/>
    <mergeCell ref="A62:A64"/>
    <mergeCell ref="B63:B64"/>
    <mergeCell ref="A65:A67"/>
    <mergeCell ref="B66:B67"/>
    <mergeCell ref="A53:A55"/>
    <mergeCell ref="B54:B55"/>
    <mergeCell ref="A56:A58"/>
    <mergeCell ref="B57:B58"/>
    <mergeCell ref="A47:A49"/>
    <mergeCell ref="B48:B49"/>
    <mergeCell ref="A50:A52"/>
    <mergeCell ref="B51:B52"/>
    <mergeCell ref="A41:A43"/>
    <mergeCell ref="B42:B43"/>
    <mergeCell ref="A44:A46"/>
    <mergeCell ref="B45:B46"/>
    <mergeCell ref="A35:A37"/>
    <mergeCell ref="B36:B37"/>
    <mergeCell ref="A38:A40"/>
    <mergeCell ref="B39:B40"/>
    <mergeCell ref="A26:A28"/>
    <mergeCell ref="B27:B28"/>
    <mergeCell ref="A29:A34"/>
    <mergeCell ref="B30:B31"/>
    <mergeCell ref="B33:B34"/>
    <mergeCell ref="A17:A22"/>
    <mergeCell ref="B18:B19"/>
    <mergeCell ref="B21:B22"/>
    <mergeCell ref="A23:A25"/>
    <mergeCell ref="B24:B25"/>
    <mergeCell ref="A14:A16"/>
    <mergeCell ref="B15:B16"/>
    <mergeCell ref="A5:A7"/>
    <mergeCell ref="B6:B7"/>
    <mergeCell ref="A8:A10"/>
    <mergeCell ref="B9:B10"/>
    <mergeCell ref="A1:G1"/>
    <mergeCell ref="A2:A3"/>
    <mergeCell ref="B2:B3"/>
    <mergeCell ref="C2:C3"/>
    <mergeCell ref="A11:A13"/>
    <mergeCell ref="B12:B13"/>
    <mergeCell ref="D2:G2"/>
  </mergeCells>
  <dataValidations count="14">
    <dataValidation type="whole" operator="lessThanOrEqual" showInputMessage="1" showErrorMessage="1" error="Не повинно бути більше за кількість всього автокранів" sqref="D9:F9">
      <formula1>D8</formula1>
    </dataValidation>
    <dataValidation type="whole" operator="lessThanOrEqual" showInputMessage="1" showErrorMessage="1" error="Не повинно бути більше за кількість всього електролабораторій" sqref="D27:F27">
      <formula1>D26</formula1>
    </dataValidation>
    <dataValidation type="whole" operator="lessThanOrEqual" showInputMessage="1" showErrorMessage="1" error="Не повинно бути більше за кількість всього пересувних електромеханічних майстерень" sqref="D24:F24">
      <formula1>D23</formula1>
    </dataValidation>
    <dataValidation type="whole" operator="lessThanOrEqual" showInputMessage="1" showErrorMessage="1" error="Не повинно бути більше за кількість всього телевишок та автогідропідйомників" sqref="D18:F18">
      <formula1>D17</formula1>
    </dataValidation>
    <dataValidation type="whole" operator="lessThanOrEqual" showInputMessage="1" showErrorMessage="1" error="Не повинно бути більше за кількість всього бурокранових установок" sqref="D15:F15">
      <formula1>D14</formula1>
    </dataValidation>
    <dataValidation type="whole" operator="lessThanOrEqual" showInputMessage="1" showErrorMessage="1" error="Не повинно бути більше за кількість всього автобурових машин" sqref="D12:F12">
      <formula1>D11</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10;мінус іншу спецтехніку п. 27" sqref="D8:F8">
      <formula1>D5-D11-D14-D17-D23-D26-D29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10;мінус іншу спецтехніку п. 27" sqref="D11:F11">
      <formula1>D5-D8-D14-D17-D23-D26-D29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10;мінус іншу спецтехніку п. 27" sqref="D14:F14">
      <formula1>D5-D8-D11-D17-D23-D26-D29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10;мінус іншу спецтехніку п. 27" sqref="D17:F17">
      <formula1>D5-D8-D11-D14-D23-D26-D29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10;мінус іншу спецтехніку п. 27" sqref="D23:F23">
      <formula1>D5-D8-D11-D14-D17-D26-D29</formula1>
    </dataValidation>
    <dataValidation operator="lessThanOrEqual" showInputMessage="1" showErrorMessage="1" error="Не повинно бути більше за кількість всього автотракторної техніки і спецмеханізмів в електричних мережах" sqref="D67:F69 D19:F22 D25:F25 D13:F13 D43:F43 D10:F10 D40:F41 D46:F46 D49:F49 D52:F52 D55:F56 D64:F64 D58:F59 D61:F62 D28:F28 D31:F31 D34:F34 D37:F37 D16:F16"/>
    <dataValidation operator="lessThanOrEqual" showErrorMessage="1" errorTitle="Не заповнювати" error="Не повинно бути більше за кількість всього автотракторної техніки і спецмеханізмів в електричних мережах" sqref="D7:F7"/>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10;мінус іншу спецтехніку п. 27" sqref="D26:F26">
      <formula1>D5-D8-D11-D14-D17-D23-D29</formula1>
    </dataValidation>
  </dataValidations>
  <printOptions/>
  <pageMargins left="0.7874015748031497" right="0.3937007874015748" top="0.31496062992125984" bottom="0.2755905511811024" header="0.2362204724409449" footer="0.2362204724409449"/>
  <pageSetup horizontalDpi="600" verticalDpi="600" orientation="portrait" paperSize="9" scale="81" r:id="rId1"/>
  <rowBreaks count="1" manualBreakCount="1">
    <brk id="55" max="6" man="1"/>
  </rowBreaks>
</worksheet>
</file>

<file path=xl/worksheets/sheet17.xml><?xml version="1.0" encoding="utf-8"?>
<worksheet xmlns="http://schemas.openxmlformats.org/spreadsheetml/2006/main" xmlns:r="http://schemas.openxmlformats.org/officeDocument/2006/relationships">
  <dimension ref="A1:P748"/>
  <sheetViews>
    <sheetView view="pageBreakPreview" zoomScale="75" zoomScaleNormal="75" zoomScaleSheetLayoutView="75" workbookViewId="0" topLeftCell="A1">
      <pane ySplit="3" topLeftCell="A4" activePane="bottomLeft" state="frozen"/>
      <selection pane="topLeft" activeCell="G23" sqref="G23"/>
      <selection pane="bottomLeft" activeCell="L617" sqref="L617:O617"/>
    </sheetView>
  </sheetViews>
  <sheetFormatPr defaultColWidth="9.00390625" defaultRowHeight="12.75"/>
  <cols>
    <col min="1" max="1" width="7.875" style="121" customWidth="1"/>
    <col min="2" max="2" width="16.875" style="117" customWidth="1"/>
    <col min="3" max="3" width="19.75390625" style="117" customWidth="1"/>
    <col min="4" max="4" width="11.25390625" style="117" customWidth="1"/>
    <col min="5" max="5" width="17.875" style="117" customWidth="1"/>
    <col min="6" max="6" width="20.125" style="117" customWidth="1"/>
    <col min="7" max="7" width="15.125" style="117" customWidth="1"/>
    <col min="8" max="8" width="13.625" style="117" customWidth="1"/>
    <col min="9" max="9" width="14.25390625" style="117" customWidth="1"/>
    <col min="10" max="10" width="18.00390625" style="116" customWidth="1"/>
    <col min="11" max="11" width="15.00390625" style="117" customWidth="1"/>
    <col min="12" max="12" width="15.75390625" style="117" customWidth="1"/>
    <col min="13" max="13" width="17.375" style="117" customWidth="1"/>
    <col min="14" max="14" width="15.75390625" style="117" customWidth="1"/>
    <col min="15" max="15" width="15.375" style="117" customWidth="1"/>
    <col min="16" max="16" width="23.00390625" style="117" customWidth="1"/>
    <col min="17" max="16384" width="9.125" style="117" customWidth="1"/>
  </cols>
  <sheetData>
    <row r="1" spans="1:16" s="115" customFormat="1" ht="32.25" customHeight="1">
      <c r="A1" s="1587" t="s">
        <v>864</v>
      </c>
      <c r="B1" s="1587"/>
      <c r="C1" s="1587"/>
      <c r="D1" s="1587"/>
      <c r="E1" s="1587"/>
      <c r="F1" s="1587"/>
      <c r="G1" s="1587"/>
      <c r="H1" s="1587"/>
      <c r="I1" s="1587"/>
      <c r="J1" s="1587"/>
      <c r="K1" s="1587"/>
      <c r="L1" s="1587"/>
      <c r="M1" s="1587"/>
      <c r="N1" s="1587"/>
      <c r="O1" s="1587"/>
      <c r="P1" s="1587"/>
    </row>
    <row r="2" spans="1:16" s="116" customFormat="1" ht="55.5" customHeight="1">
      <c r="A2" s="1588" t="s">
        <v>2082</v>
      </c>
      <c r="B2" s="1586" t="s">
        <v>865</v>
      </c>
      <c r="C2" s="1586" t="s">
        <v>1936</v>
      </c>
      <c r="D2" s="1586" t="s">
        <v>1937</v>
      </c>
      <c r="E2" s="1586" t="s">
        <v>866</v>
      </c>
      <c r="F2" s="1586" t="s">
        <v>1938</v>
      </c>
      <c r="G2" s="1586" t="s">
        <v>1946</v>
      </c>
      <c r="H2" s="1586" t="s">
        <v>867</v>
      </c>
      <c r="I2" s="1586"/>
      <c r="J2" s="1586" t="s">
        <v>1948</v>
      </c>
      <c r="K2" s="1586" t="s">
        <v>1947</v>
      </c>
      <c r="L2" s="1586" t="s">
        <v>1939</v>
      </c>
      <c r="M2" s="1586"/>
      <c r="N2" s="1586"/>
      <c r="O2" s="1586"/>
      <c r="P2" s="1586"/>
    </row>
    <row r="3" spans="1:16" ht="105.75" customHeight="1">
      <c r="A3" s="1589"/>
      <c r="B3" s="1586"/>
      <c r="C3" s="1586"/>
      <c r="D3" s="1586"/>
      <c r="E3" s="1586"/>
      <c r="F3" s="1586"/>
      <c r="G3" s="1586"/>
      <c r="H3" s="651" t="s">
        <v>1940</v>
      </c>
      <c r="I3" s="651" t="s">
        <v>1941</v>
      </c>
      <c r="J3" s="1586"/>
      <c r="K3" s="1586"/>
      <c r="L3" s="651" t="s">
        <v>868</v>
      </c>
      <c r="M3" s="651" t="s">
        <v>869</v>
      </c>
      <c r="N3" s="651" t="s">
        <v>870</v>
      </c>
      <c r="O3" s="651" t="s">
        <v>871</v>
      </c>
      <c r="P3" s="651" t="s">
        <v>872</v>
      </c>
    </row>
    <row r="4" spans="1:16" ht="18" customHeight="1">
      <c r="A4" s="651">
        <v>1</v>
      </c>
      <c r="B4" s="651">
        <v>2</v>
      </c>
      <c r="C4" s="651">
        <v>3</v>
      </c>
      <c r="D4" s="651">
        <v>4</v>
      </c>
      <c r="E4" s="651">
        <v>5</v>
      </c>
      <c r="F4" s="651">
        <v>6</v>
      </c>
      <c r="G4" s="651">
        <v>7</v>
      </c>
      <c r="H4" s="651">
        <v>8</v>
      </c>
      <c r="I4" s="651">
        <v>9</v>
      </c>
      <c r="J4" s="651">
        <v>10</v>
      </c>
      <c r="K4" s="651">
        <v>11</v>
      </c>
      <c r="L4" s="651">
        <v>12</v>
      </c>
      <c r="M4" s="651">
        <v>13</v>
      </c>
      <c r="N4" s="651">
        <v>14</v>
      </c>
      <c r="O4" s="651">
        <v>15</v>
      </c>
      <c r="P4" s="651">
        <v>16</v>
      </c>
    </row>
    <row r="5" spans="1:16" ht="18.75">
      <c r="A5" s="652">
        <v>1</v>
      </c>
      <c r="B5" s="651" t="s">
        <v>873</v>
      </c>
      <c r="C5" s="651" t="s">
        <v>874</v>
      </c>
      <c r="D5" s="651">
        <v>1989</v>
      </c>
      <c r="E5" s="651">
        <v>10</v>
      </c>
      <c r="F5" s="651" t="s">
        <v>330</v>
      </c>
      <c r="G5" s="653">
        <v>17.4</v>
      </c>
      <c r="H5" s="653">
        <v>0</v>
      </c>
      <c r="I5" s="653">
        <v>0.92</v>
      </c>
      <c r="J5" s="651">
        <v>0</v>
      </c>
      <c r="K5" s="651"/>
      <c r="L5" s="654"/>
      <c r="M5" s="654"/>
      <c r="N5" s="651"/>
      <c r="O5" s="651"/>
      <c r="P5" s="653"/>
    </row>
    <row r="6" spans="1:16" ht="18.75">
      <c r="A6" s="652">
        <v>2</v>
      </c>
      <c r="B6" s="651" t="s">
        <v>875</v>
      </c>
      <c r="C6" s="651" t="s">
        <v>836</v>
      </c>
      <c r="D6" s="651">
        <v>1991</v>
      </c>
      <c r="E6" s="651">
        <v>10</v>
      </c>
      <c r="F6" s="651" t="s">
        <v>330</v>
      </c>
      <c r="G6" s="651">
        <v>27</v>
      </c>
      <c r="H6" s="653">
        <v>0</v>
      </c>
      <c r="I6" s="653">
        <v>0.5</v>
      </c>
      <c r="J6" s="653">
        <v>0</v>
      </c>
      <c r="K6" s="651"/>
      <c r="L6" s="654"/>
      <c r="M6" s="654"/>
      <c r="N6" s="655"/>
      <c r="O6" s="651"/>
      <c r="P6" s="653"/>
    </row>
    <row r="7" spans="1:16" ht="18.75">
      <c r="A7" s="652">
        <v>3</v>
      </c>
      <c r="B7" s="651" t="s">
        <v>876</v>
      </c>
      <c r="C7" s="651" t="s">
        <v>836</v>
      </c>
      <c r="D7" s="651">
        <v>1992</v>
      </c>
      <c r="E7" s="651">
        <v>10</v>
      </c>
      <c r="F7" s="651" t="s">
        <v>330</v>
      </c>
      <c r="G7" s="651">
        <v>31</v>
      </c>
      <c r="H7" s="653">
        <v>0</v>
      </c>
      <c r="I7" s="653">
        <v>4.035</v>
      </c>
      <c r="J7" s="653">
        <v>0</v>
      </c>
      <c r="K7" s="651"/>
      <c r="L7" s="654"/>
      <c r="M7" s="651"/>
      <c r="N7" s="653"/>
      <c r="O7" s="651"/>
      <c r="P7" s="653"/>
    </row>
    <row r="8" spans="1:16" ht="18.75">
      <c r="A8" s="652">
        <v>4</v>
      </c>
      <c r="B8" s="651" t="s">
        <v>876</v>
      </c>
      <c r="C8" s="651" t="s">
        <v>877</v>
      </c>
      <c r="D8" s="651">
        <v>1992</v>
      </c>
      <c r="E8" s="651">
        <v>10</v>
      </c>
      <c r="F8" s="651" t="s">
        <v>330</v>
      </c>
      <c r="G8" s="651">
        <v>32.5</v>
      </c>
      <c r="H8" s="653">
        <v>0</v>
      </c>
      <c r="I8" s="653">
        <v>0.15</v>
      </c>
      <c r="J8" s="653">
        <v>0</v>
      </c>
      <c r="K8" s="651"/>
      <c r="L8" s="654"/>
      <c r="M8" s="651"/>
      <c r="N8" s="656"/>
      <c r="O8" s="651"/>
      <c r="P8" s="653"/>
    </row>
    <row r="9" spans="1:16" ht="18.75">
      <c r="A9" s="652">
        <v>5</v>
      </c>
      <c r="B9" s="651" t="s">
        <v>878</v>
      </c>
      <c r="C9" s="651" t="s">
        <v>879</v>
      </c>
      <c r="D9" s="651">
        <v>1992</v>
      </c>
      <c r="E9" s="651">
        <v>10</v>
      </c>
      <c r="F9" s="651" t="s">
        <v>330</v>
      </c>
      <c r="G9" s="651" t="s">
        <v>880</v>
      </c>
      <c r="H9" s="653">
        <v>0</v>
      </c>
      <c r="I9" s="653">
        <v>0.57</v>
      </c>
      <c r="J9" s="653">
        <v>0</v>
      </c>
      <c r="K9" s="651"/>
      <c r="L9" s="654"/>
      <c r="M9" s="654"/>
      <c r="N9" s="655"/>
      <c r="O9" s="651"/>
      <c r="P9" s="653"/>
    </row>
    <row r="10" spans="1:16" ht="18.75">
      <c r="A10" s="652">
        <v>6</v>
      </c>
      <c r="B10" s="651" t="s">
        <v>834</v>
      </c>
      <c r="C10" s="651" t="s">
        <v>881</v>
      </c>
      <c r="D10" s="651">
        <v>1982</v>
      </c>
      <c r="E10" s="651">
        <v>10</v>
      </c>
      <c r="F10" s="651" t="s">
        <v>330</v>
      </c>
      <c r="G10" s="651" t="s">
        <v>882</v>
      </c>
      <c r="H10" s="653">
        <v>0</v>
      </c>
      <c r="I10" s="653">
        <v>2.55</v>
      </c>
      <c r="J10" s="653">
        <v>0</v>
      </c>
      <c r="K10" s="651"/>
      <c r="L10" s="654"/>
      <c r="M10" s="651"/>
      <c r="N10" s="655"/>
      <c r="O10" s="651"/>
      <c r="P10" s="651"/>
    </row>
    <row r="11" spans="1:16" ht="18.75">
      <c r="A11" s="652">
        <v>7</v>
      </c>
      <c r="B11" s="651" t="s">
        <v>834</v>
      </c>
      <c r="C11" s="651" t="s">
        <v>881</v>
      </c>
      <c r="D11" s="651">
        <v>1990</v>
      </c>
      <c r="E11" s="651">
        <v>10</v>
      </c>
      <c r="F11" s="651" t="s">
        <v>330</v>
      </c>
      <c r="G11" s="651" t="s">
        <v>882</v>
      </c>
      <c r="H11" s="653">
        <v>0</v>
      </c>
      <c r="I11" s="653">
        <v>0.4</v>
      </c>
      <c r="J11" s="653">
        <v>0</v>
      </c>
      <c r="K11" s="651"/>
      <c r="L11" s="654"/>
      <c r="M11" s="651"/>
      <c r="N11" s="655"/>
      <c r="O11" s="651"/>
      <c r="P11" s="651"/>
    </row>
    <row r="12" spans="1:16" ht="18.75">
      <c r="A12" s="652">
        <v>8</v>
      </c>
      <c r="B12" s="651" t="s">
        <v>883</v>
      </c>
      <c r="C12" s="651" t="s">
        <v>884</v>
      </c>
      <c r="D12" s="651">
        <v>1998</v>
      </c>
      <c r="E12" s="651">
        <v>10</v>
      </c>
      <c r="F12" s="651" t="s">
        <v>330</v>
      </c>
      <c r="G12" s="651">
        <v>16.2</v>
      </c>
      <c r="H12" s="653">
        <v>0</v>
      </c>
      <c r="I12" s="653">
        <v>3.98</v>
      </c>
      <c r="J12" s="653">
        <v>0</v>
      </c>
      <c r="K12" s="651"/>
      <c r="L12" s="654"/>
      <c r="M12" s="651"/>
      <c r="N12" s="653"/>
      <c r="O12" s="651"/>
      <c r="P12" s="651"/>
    </row>
    <row r="13" spans="1:16" ht="18.75">
      <c r="A13" s="652">
        <v>9</v>
      </c>
      <c r="B13" s="651" t="s">
        <v>885</v>
      </c>
      <c r="C13" s="651" t="s">
        <v>884</v>
      </c>
      <c r="D13" s="651">
        <v>2008</v>
      </c>
      <c r="E13" s="651">
        <v>10</v>
      </c>
      <c r="F13" s="651" t="s">
        <v>330</v>
      </c>
      <c r="G13" s="651">
        <v>17</v>
      </c>
      <c r="H13" s="653">
        <v>0</v>
      </c>
      <c r="I13" s="653">
        <v>2.6</v>
      </c>
      <c r="J13" s="653">
        <v>26.02</v>
      </c>
      <c r="K13" s="651"/>
      <c r="L13" s="651"/>
      <c r="M13" s="651"/>
      <c r="N13" s="651"/>
      <c r="O13" s="651"/>
      <c r="P13" s="651"/>
    </row>
    <row r="14" spans="1:16" ht="18.75">
      <c r="A14" s="652">
        <v>10</v>
      </c>
      <c r="B14" s="651" t="s">
        <v>855</v>
      </c>
      <c r="C14" s="651" t="s">
        <v>884</v>
      </c>
      <c r="D14" s="651">
        <v>1999</v>
      </c>
      <c r="E14" s="651">
        <v>10</v>
      </c>
      <c r="F14" s="651" t="s">
        <v>330</v>
      </c>
      <c r="G14" s="651">
        <v>17</v>
      </c>
      <c r="H14" s="653">
        <v>0</v>
      </c>
      <c r="I14" s="653">
        <v>3.48</v>
      </c>
      <c r="J14" s="653">
        <v>0</v>
      </c>
      <c r="K14" s="651"/>
      <c r="L14" s="651"/>
      <c r="M14" s="651"/>
      <c r="N14" s="651"/>
      <c r="O14" s="651"/>
      <c r="P14" s="651"/>
    </row>
    <row r="15" spans="1:16" ht="18.75">
      <c r="A15" s="652">
        <v>11</v>
      </c>
      <c r="B15" s="651" t="s">
        <v>852</v>
      </c>
      <c r="C15" s="651" t="s">
        <v>853</v>
      </c>
      <c r="D15" s="651">
        <v>1982</v>
      </c>
      <c r="E15" s="651">
        <v>10</v>
      </c>
      <c r="F15" s="651" t="s">
        <v>330</v>
      </c>
      <c r="G15" s="651">
        <v>16</v>
      </c>
      <c r="H15" s="653">
        <v>0</v>
      </c>
      <c r="I15" s="653">
        <v>0</v>
      </c>
      <c r="J15" s="653">
        <v>0</v>
      </c>
      <c r="K15" s="651"/>
      <c r="L15" s="651"/>
      <c r="M15" s="651"/>
      <c r="N15" s="651"/>
      <c r="O15" s="651"/>
      <c r="P15" s="651"/>
    </row>
    <row r="16" spans="1:16" ht="18.75">
      <c r="A16" s="652">
        <v>12</v>
      </c>
      <c r="B16" s="651" t="s">
        <v>886</v>
      </c>
      <c r="C16" s="651" t="s">
        <v>853</v>
      </c>
      <c r="D16" s="651">
        <v>1995</v>
      </c>
      <c r="E16" s="651">
        <v>10</v>
      </c>
      <c r="F16" s="651" t="s">
        <v>330</v>
      </c>
      <c r="G16" s="651">
        <v>11.5</v>
      </c>
      <c r="H16" s="653">
        <v>0</v>
      </c>
      <c r="I16" s="653">
        <v>0.99</v>
      </c>
      <c r="J16" s="653">
        <v>0</v>
      </c>
      <c r="K16" s="651"/>
      <c r="L16" s="654"/>
      <c r="M16" s="651"/>
      <c r="N16" s="653"/>
      <c r="O16" s="651"/>
      <c r="P16" s="651"/>
    </row>
    <row r="17" spans="1:16" ht="18.75">
      <c r="A17" s="652">
        <v>13</v>
      </c>
      <c r="B17" s="651" t="s">
        <v>835</v>
      </c>
      <c r="C17" s="651" t="s">
        <v>853</v>
      </c>
      <c r="D17" s="651">
        <v>1992</v>
      </c>
      <c r="E17" s="651">
        <v>10</v>
      </c>
      <c r="F17" s="651" t="s">
        <v>330</v>
      </c>
      <c r="G17" s="651">
        <v>12</v>
      </c>
      <c r="H17" s="653">
        <v>0</v>
      </c>
      <c r="I17" s="653">
        <v>0.6</v>
      </c>
      <c r="J17" s="653">
        <v>0</v>
      </c>
      <c r="K17" s="651"/>
      <c r="L17" s="654"/>
      <c r="M17" s="651"/>
      <c r="N17" s="653"/>
      <c r="O17" s="651"/>
      <c r="P17" s="651"/>
    </row>
    <row r="18" spans="1:16" ht="40.5" customHeight="1">
      <c r="A18" s="652">
        <v>14</v>
      </c>
      <c r="B18" s="651" t="s">
        <v>887</v>
      </c>
      <c r="C18" s="651" t="s">
        <v>853</v>
      </c>
      <c r="D18" s="651">
        <v>2003</v>
      </c>
      <c r="E18" s="651">
        <v>10</v>
      </c>
      <c r="F18" s="651" t="s">
        <v>330</v>
      </c>
      <c r="G18" s="651">
        <v>8.8</v>
      </c>
      <c r="H18" s="653">
        <v>0</v>
      </c>
      <c r="I18" s="653">
        <v>29</v>
      </c>
      <c r="J18" s="653">
        <v>0</v>
      </c>
      <c r="K18" s="651"/>
      <c r="L18" s="651"/>
      <c r="M18" s="651"/>
      <c r="N18" s="651"/>
      <c r="O18" s="651"/>
      <c r="P18" s="651"/>
    </row>
    <row r="19" spans="1:16" ht="18.75">
      <c r="A19" s="652">
        <v>15</v>
      </c>
      <c r="B19" s="651" t="s">
        <v>831</v>
      </c>
      <c r="C19" s="651" t="s">
        <v>888</v>
      </c>
      <c r="D19" s="651">
        <v>1992</v>
      </c>
      <c r="E19" s="651">
        <v>10</v>
      </c>
      <c r="F19" s="651" t="s">
        <v>330</v>
      </c>
      <c r="G19" s="651">
        <v>15.5</v>
      </c>
      <c r="H19" s="653">
        <v>0</v>
      </c>
      <c r="I19" s="653">
        <v>4.85</v>
      </c>
      <c r="J19" s="653">
        <v>0</v>
      </c>
      <c r="K19" s="651"/>
      <c r="L19" s="651"/>
      <c r="M19" s="651"/>
      <c r="N19" s="651"/>
      <c r="O19" s="651"/>
      <c r="P19" s="651"/>
    </row>
    <row r="20" spans="1:16" ht="18.75">
      <c r="A20" s="652">
        <v>16</v>
      </c>
      <c r="B20" s="651" t="s">
        <v>889</v>
      </c>
      <c r="C20" s="651" t="s">
        <v>890</v>
      </c>
      <c r="D20" s="651">
        <v>1991</v>
      </c>
      <c r="E20" s="651">
        <v>10</v>
      </c>
      <c r="F20" s="651" t="s">
        <v>330</v>
      </c>
      <c r="G20" s="651">
        <v>5.8</v>
      </c>
      <c r="H20" s="653">
        <v>0</v>
      </c>
      <c r="I20" s="653">
        <v>0.21</v>
      </c>
      <c r="J20" s="653">
        <v>0</v>
      </c>
      <c r="K20" s="651"/>
      <c r="L20" s="651"/>
      <c r="M20" s="651"/>
      <c r="N20" s="651"/>
      <c r="O20" s="651"/>
      <c r="P20" s="651"/>
    </row>
    <row r="21" spans="1:16" ht="18.75">
      <c r="A21" s="652">
        <v>17</v>
      </c>
      <c r="B21" s="651" t="s">
        <v>891</v>
      </c>
      <c r="C21" s="651" t="s">
        <v>849</v>
      </c>
      <c r="D21" s="651">
        <v>1974</v>
      </c>
      <c r="E21" s="651">
        <v>10</v>
      </c>
      <c r="F21" s="651" t="s">
        <v>330</v>
      </c>
      <c r="G21" s="651">
        <v>4.2</v>
      </c>
      <c r="H21" s="653">
        <v>0</v>
      </c>
      <c r="I21" s="653">
        <v>0</v>
      </c>
      <c r="J21" s="653">
        <v>0</v>
      </c>
      <c r="K21" s="651"/>
      <c r="L21" s="651"/>
      <c r="M21" s="651"/>
      <c r="N21" s="651"/>
      <c r="O21" s="651"/>
      <c r="P21" s="651"/>
    </row>
    <row r="22" spans="1:16" ht="18.75">
      <c r="A22" s="652">
        <v>18</v>
      </c>
      <c r="B22" s="651" t="s">
        <v>892</v>
      </c>
      <c r="C22" s="148" t="s">
        <v>893</v>
      </c>
      <c r="D22" s="651">
        <v>1991</v>
      </c>
      <c r="E22" s="651">
        <v>10</v>
      </c>
      <c r="F22" s="651" t="s">
        <v>330</v>
      </c>
      <c r="G22" s="651">
        <v>0</v>
      </c>
      <c r="H22" s="653">
        <v>0</v>
      </c>
      <c r="I22" s="653">
        <v>0</v>
      </c>
      <c r="J22" s="653">
        <v>0</v>
      </c>
      <c r="K22" s="651"/>
      <c r="L22" s="651"/>
      <c r="M22" s="651"/>
      <c r="N22" s="651"/>
      <c r="O22" s="651"/>
      <c r="P22" s="651"/>
    </row>
    <row r="23" spans="1:16" ht="18.75">
      <c r="A23" s="652">
        <v>19</v>
      </c>
      <c r="B23" s="651" t="s">
        <v>894</v>
      </c>
      <c r="C23" s="148" t="s">
        <v>893</v>
      </c>
      <c r="D23" s="651">
        <v>1992</v>
      </c>
      <c r="E23" s="651">
        <v>10</v>
      </c>
      <c r="F23" s="651" t="s">
        <v>330</v>
      </c>
      <c r="G23" s="651">
        <v>0</v>
      </c>
      <c r="H23" s="653">
        <v>0</v>
      </c>
      <c r="I23" s="653">
        <v>0</v>
      </c>
      <c r="J23" s="653">
        <v>0</v>
      </c>
      <c r="K23" s="651"/>
      <c r="L23" s="651"/>
      <c r="M23" s="651"/>
      <c r="N23" s="651"/>
      <c r="O23" s="651"/>
      <c r="P23" s="651"/>
    </row>
    <row r="24" spans="1:16" ht="37.5">
      <c r="A24" s="652">
        <v>20</v>
      </c>
      <c r="B24" s="651" t="s">
        <v>895</v>
      </c>
      <c r="C24" s="651" t="s">
        <v>896</v>
      </c>
      <c r="D24" s="651">
        <v>1998</v>
      </c>
      <c r="E24" s="651">
        <v>10</v>
      </c>
      <c r="F24" s="651" t="s">
        <v>897</v>
      </c>
      <c r="G24" s="651">
        <v>17.2</v>
      </c>
      <c r="H24" s="653">
        <v>976.1</v>
      </c>
      <c r="I24" s="653">
        <v>11.71</v>
      </c>
      <c r="J24" s="653">
        <v>0</v>
      </c>
      <c r="K24" s="651"/>
      <c r="L24" s="654"/>
      <c r="M24" s="654"/>
      <c r="N24" s="651"/>
      <c r="O24" s="651"/>
      <c r="P24" s="653"/>
    </row>
    <row r="25" spans="1:16" ht="37.5">
      <c r="A25" s="652">
        <v>21</v>
      </c>
      <c r="B25" s="651" t="s">
        <v>898</v>
      </c>
      <c r="C25" s="651" t="s">
        <v>853</v>
      </c>
      <c r="D25" s="651">
        <v>1994</v>
      </c>
      <c r="E25" s="651">
        <v>10</v>
      </c>
      <c r="F25" s="651" t="s">
        <v>897</v>
      </c>
      <c r="G25" s="651">
        <v>17.1</v>
      </c>
      <c r="H25" s="653">
        <v>19.69</v>
      </c>
      <c r="I25" s="653">
        <v>0.24</v>
      </c>
      <c r="J25" s="653">
        <v>0</v>
      </c>
      <c r="K25" s="651"/>
      <c r="L25" s="654"/>
      <c r="M25" s="654"/>
      <c r="N25" s="655"/>
      <c r="O25" s="651"/>
      <c r="P25" s="653"/>
    </row>
    <row r="26" spans="1:16" ht="56.25">
      <c r="A26" s="652">
        <v>22</v>
      </c>
      <c r="B26" s="651" t="s">
        <v>899</v>
      </c>
      <c r="C26" s="651" t="s">
        <v>900</v>
      </c>
      <c r="D26" s="651">
        <v>1988</v>
      </c>
      <c r="E26" s="651">
        <v>10</v>
      </c>
      <c r="F26" s="651" t="s">
        <v>901</v>
      </c>
      <c r="G26" s="651">
        <v>49.3</v>
      </c>
      <c r="H26" s="653">
        <v>91.6</v>
      </c>
      <c r="I26" s="653">
        <v>1.1</v>
      </c>
      <c r="J26" s="653">
        <v>0</v>
      </c>
      <c r="K26" s="651"/>
      <c r="L26" s="651"/>
      <c r="M26" s="651"/>
      <c r="N26" s="653"/>
      <c r="O26" s="651"/>
      <c r="P26" s="653"/>
    </row>
    <row r="27" spans="1:16" ht="37.5">
      <c r="A27" s="652">
        <v>23</v>
      </c>
      <c r="B27" s="651" t="s">
        <v>902</v>
      </c>
      <c r="C27" s="651" t="s">
        <v>853</v>
      </c>
      <c r="D27" s="651">
        <v>1998</v>
      </c>
      <c r="E27" s="651">
        <v>10</v>
      </c>
      <c r="F27" s="651" t="s">
        <v>903</v>
      </c>
      <c r="G27" s="651">
        <v>8.7</v>
      </c>
      <c r="H27" s="653">
        <v>257.12</v>
      </c>
      <c r="I27" s="653">
        <v>3.09</v>
      </c>
      <c r="J27" s="653">
        <v>0</v>
      </c>
      <c r="K27" s="651"/>
      <c r="L27" s="654"/>
      <c r="M27" s="651"/>
      <c r="N27" s="656"/>
      <c r="O27" s="651"/>
      <c r="P27" s="653"/>
    </row>
    <row r="28" spans="1:16" ht="37.5">
      <c r="A28" s="652">
        <v>24</v>
      </c>
      <c r="B28" s="651" t="s">
        <v>904</v>
      </c>
      <c r="C28" s="651" t="s">
        <v>838</v>
      </c>
      <c r="D28" s="651">
        <v>1991</v>
      </c>
      <c r="E28" s="651">
        <v>10</v>
      </c>
      <c r="F28" s="651" t="s">
        <v>901</v>
      </c>
      <c r="G28" s="651">
        <v>24.2</v>
      </c>
      <c r="H28" s="653">
        <v>404.1</v>
      </c>
      <c r="I28" s="653">
        <v>4.84</v>
      </c>
      <c r="J28" s="653">
        <v>0</v>
      </c>
      <c r="K28" s="651"/>
      <c r="L28" s="654"/>
      <c r="M28" s="654"/>
      <c r="N28" s="655"/>
      <c r="O28" s="651"/>
      <c r="P28" s="653"/>
    </row>
    <row r="29" spans="1:16" ht="37.5">
      <c r="A29" s="652">
        <v>25</v>
      </c>
      <c r="B29" s="651" t="s">
        <v>905</v>
      </c>
      <c r="C29" s="651" t="s">
        <v>838</v>
      </c>
      <c r="D29" s="651">
        <v>1990</v>
      </c>
      <c r="E29" s="651">
        <v>10</v>
      </c>
      <c r="F29" s="651" t="s">
        <v>906</v>
      </c>
      <c r="G29" s="651">
        <v>30.8</v>
      </c>
      <c r="H29" s="653">
        <v>537</v>
      </c>
      <c r="I29" s="653">
        <v>6.44</v>
      </c>
      <c r="J29" s="653">
        <v>0</v>
      </c>
      <c r="K29" s="651"/>
      <c r="L29" s="654"/>
      <c r="M29" s="651"/>
      <c r="N29" s="653"/>
      <c r="O29" s="651"/>
      <c r="P29" s="651"/>
    </row>
    <row r="30" spans="1:16" ht="37.5">
      <c r="A30" s="652">
        <v>26</v>
      </c>
      <c r="B30" s="651" t="s">
        <v>907</v>
      </c>
      <c r="C30" s="651" t="s">
        <v>900</v>
      </c>
      <c r="D30" s="651">
        <v>1993</v>
      </c>
      <c r="E30" s="651">
        <v>10</v>
      </c>
      <c r="F30" s="651" t="s">
        <v>908</v>
      </c>
      <c r="G30" s="651">
        <v>33.6</v>
      </c>
      <c r="H30" s="653">
        <v>26</v>
      </c>
      <c r="I30" s="653">
        <v>0.31</v>
      </c>
      <c r="J30" s="653">
        <v>0</v>
      </c>
      <c r="K30" s="651"/>
      <c r="L30" s="654"/>
      <c r="M30" s="651"/>
      <c r="N30" s="655"/>
      <c r="O30" s="651"/>
      <c r="P30" s="651"/>
    </row>
    <row r="31" spans="1:16" ht="37.5">
      <c r="A31" s="652">
        <v>27</v>
      </c>
      <c r="B31" s="651" t="s">
        <v>909</v>
      </c>
      <c r="C31" s="651" t="s">
        <v>896</v>
      </c>
      <c r="D31" s="651">
        <v>1999</v>
      </c>
      <c r="E31" s="651">
        <v>10</v>
      </c>
      <c r="F31" s="651" t="s">
        <v>908</v>
      </c>
      <c r="G31" s="651">
        <v>17.8</v>
      </c>
      <c r="H31" s="653">
        <v>266.2</v>
      </c>
      <c r="I31" s="653">
        <v>3.19</v>
      </c>
      <c r="J31" s="653">
        <v>0</v>
      </c>
      <c r="K31" s="651"/>
      <c r="L31" s="654"/>
      <c r="M31" s="651"/>
      <c r="N31" s="653"/>
      <c r="O31" s="651"/>
      <c r="P31" s="651"/>
    </row>
    <row r="32" spans="1:16" ht="56.25">
      <c r="A32" s="652">
        <v>28</v>
      </c>
      <c r="B32" s="651" t="s">
        <v>910</v>
      </c>
      <c r="C32" s="651" t="s">
        <v>874</v>
      </c>
      <c r="D32" s="651">
        <v>1988</v>
      </c>
      <c r="E32" s="651">
        <v>10</v>
      </c>
      <c r="F32" s="651" t="s">
        <v>860</v>
      </c>
      <c r="G32" s="651">
        <v>29.4</v>
      </c>
      <c r="H32" s="653">
        <v>0</v>
      </c>
      <c r="I32" s="653">
        <v>0</v>
      </c>
      <c r="J32" s="653">
        <v>0</v>
      </c>
      <c r="K32" s="651"/>
      <c r="L32" s="651"/>
      <c r="M32" s="651"/>
      <c r="N32" s="651"/>
      <c r="O32" s="651"/>
      <c r="P32" s="651"/>
    </row>
    <row r="33" spans="1:16" ht="37.5">
      <c r="A33" s="652">
        <v>29</v>
      </c>
      <c r="B33" s="651" t="s">
        <v>911</v>
      </c>
      <c r="C33" s="651" t="s">
        <v>912</v>
      </c>
      <c r="D33" s="651">
        <v>1989</v>
      </c>
      <c r="E33" s="651">
        <v>10</v>
      </c>
      <c r="F33" s="651" t="s">
        <v>901</v>
      </c>
      <c r="G33" s="651">
        <v>16.3</v>
      </c>
      <c r="H33" s="653">
        <v>24.7</v>
      </c>
      <c r="I33" s="653">
        <v>0.3</v>
      </c>
      <c r="J33" s="653">
        <v>0</v>
      </c>
      <c r="K33" s="651"/>
      <c r="L33" s="651"/>
      <c r="M33" s="651"/>
      <c r="N33" s="651"/>
      <c r="O33" s="651"/>
      <c r="P33" s="651"/>
    </row>
    <row r="34" spans="1:16" ht="37.5">
      <c r="A34" s="652">
        <v>30</v>
      </c>
      <c r="B34" s="651" t="s">
        <v>913</v>
      </c>
      <c r="C34" s="651" t="s">
        <v>849</v>
      </c>
      <c r="D34" s="651">
        <v>1985</v>
      </c>
      <c r="E34" s="651">
        <v>10</v>
      </c>
      <c r="F34" s="651" t="s">
        <v>860</v>
      </c>
      <c r="G34" s="651">
        <v>8.3</v>
      </c>
      <c r="H34" s="653">
        <v>0</v>
      </c>
      <c r="I34" s="653">
        <v>0</v>
      </c>
      <c r="J34" s="653">
        <v>0</v>
      </c>
      <c r="K34" s="651"/>
      <c r="L34" s="651"/>
      <c r="M34" s="651"/>
      <c r="N34" s="651"/>
      <c r="O34" s="651"/>
      <c r="P34" s="651"/>
    </row>
    <row r="35" spans="1:16" ht="37.5">
      <c r="A35" s="652">
        <v>31</v>
      </c>
      <c r="B35" s="651" t="s">
        <v>914</v>
      </c>
      <c r="C35" s="651" t="s">
        <v>915</v>
      </c>
      <c r="D35" s="651">
        <v>1991</v>
      </c>
      <c r="E35" s="651">
        <v>10</v>
      </c>
      <c r="F35" s="651" t="s">
        <v>860</v>
      </c>
      <c r="G35" s="651"/>
      <c r="H35" s="653">
        <v>0</v>
      </c>
      <c r="I35" s="653">
        <v>0</v>
      </c>
      <c r="J35" s="653">
        <v>0</v>
      </c>
      <c r="K35" s="651"/>
      <c r="L35" s="654"/>
      <c r="M35" s="651"/>
      <c r="N35" s="653"/>
      <c r="O35" s="651"/>
      <c r="P35" s="651"/>
    </row>
    <row r="36" spans="1:16" ht="37.5">
      <c r="A36" s="652">
        <v>32</v>
      </c>
      <c r="B36" s="651" t="s">
        <v>916</v>
      </c>
      <c r="C36" s="651" t="s">
        <v>917</v>
      </c>
      <c r="D36" s="651">
        <v>1992</v>
      </c>
      <c r="E36" s="651">
        <v>10</v>
      </c>
      <c r="F36" s="651" t="s">
        <v>901</v>
      </c>
      <c r="G36" s="651"/>
      <c r="H36" s="653">
        <v>0</v>
      </c>
      <c r="I36" s="653">
        <v>0</v>
      </c>
      <c r="J36" s="653">
        <v>0</v>
      </c>
      <c r="K36" s="651"/>
      <c r="L36" s="651"/>
      <c r="M36" s="651"/>
      <c r="N36" s="651"/>
      <c r="O36" s="651"/>
      <c r="P36" s="651"/>
    </row>
    <row r="37" spans="1:16" ht="37.5">
      <c r="A37" s="652">
        <v>33</v>
      </c>
      <c r="B37" s="657" t="s">
        <v>835</v>
      </c>
      <c r="C37" s="657" t="s">
        <v>853</v>
      </c>
      <c r="D37" s="658">
        <v>1992</v>
      </c>
      <c r="E37" s="651">
        <v>10</v>
      </c>
      <c r="F37" s="651" t="s">
        <v>311</v>
      </c>
      <c r="G37" s="651">
        <v>12</v>
      </c>
      <c r="H37" s="659">
        <v>0.011666666666666667</v>
      </c>
      <c r="I37" s="653">
        <v>0.14</v>
      </c>
      <c r="J37" s="653">
        <v>0</v>
      </c>
      <c r="K37" s="651"/>
      <c r="L37" s="654"/>
      <c r="M37" s="654"/>
      <c r="N37" s="651"/>
      <c r="O37" s="651"/>
      <c r="P37" s="653"/>
    </row>
    <row r="38" spans="1:16" ht="37.5">
      <c r="A38" s="652">
        <v>34</v>
      </c>
      <c r="B38" s="657" t="s">
        <v>918</v>
      </c>
      <c r="C38" s="657" t="s">
        <v>853</v>
      </c>
      <c r="D38" s="658">
        <v>1999</v>
      </c>
      <c r="E38" s="651">
        <v>10</v>
      </c>
      <c r="F38" s="651" t="s">
        <v>311</v>
      </c>
      <c r="G38" s="651">
        <v>16.7</v>
      </c>
      <c r="H38" s="659">
        <v>0.021666666666666667</v>
      </c>
      <c r="I38" s="659">
        <v>0.26</v>
      </c>
      <c r="J38" s="653">
        <v>0</v>
      </c>
      <c r="K38" s="651"/>
      <c r="L38" s="654"/>
      <c r="M38" s="654"/>
      <c r="N38" s="651"/>
      <c r="O38" s="651"/>
      <c r="P38" s="653"/>
    </row>
    <row r="39" spans="1:16" ht="37.5">
      <c r="A39" s="652">
        <v>35</v>
      </c>
      <c r="B39" s="657" t="s">
        <v>2165</v>
      </c>
      <c r="C39" s="657" t="s">
        <v>853</v>
      </c>
      <c r="D39" s="658">
        <v>1994</v>
      </c>
      <c r="E39" s="651">
        <v>10</v>
      </c>
      <c r="F39" s="651" t="s">
        <v>311</v>
      </c>
      <c r="G39" s="651">
        <v>10</v>
      </c>
      <c r="H39" s="659">
        <v>0</v>
      </c>
      <c r="I39" s="659">
        <v>0</v>
      </c>
      <c r="J39" s="653">
        <v>0</v>
      </c>
      <c r="K39" s="651"/>
      <c r="L39" s="654"/>
      <c r="M39" s="651"/>
      <c r="N39" s="653"/>
      <c r="O39" s="651"/>
      <c r="P39" s="653"/>
    </row>
    <row r="40" spans="1:16" ht="37.5">
      <c r="A40" s="652">
        <v>36</v>
      </c>
      <c r="B40" s="657" t="s">
        <v>919</v>
      </c>
      <c r="C40" s="657" t="s">
        <v>853</v>
      </c>
      <c r="D40" s="658">
        <v>1999</v>
      </c>
      <c r="E40" s="651">
        <v>10</v>
      </c>
      <c r="F40" s="651" t="s">
        <v>311</v>
      </c>
      <c r="G40" s="651">
        <v>8.9</v>
      </c>
      <c r="H40" s="659">
        <v>0.011666666666666667</v>
      </c>
      <c r="I40" s="659">
        <v>0.14</v>
      </c>
      <c r="J40" s="653">
        <v>0</v>
      </c>
      <c r="K40" s="651"/>
      <c r="L40" s="654"/>
      <c r="M40" s="654"/>
      <c r="N40" s="651"/>
      <c r="O40" s="651"/>
      <c r="P40" s="653"/>
    </row>
    <row r="41" spans="1:16" ht="37.5">
      <c r="A41" s="652">
        <v>37</v>
      </c>
      <c r="B41" s="657" t="s">
        <v>920</v>
      </c>
      <c r="C41" s="657" t="s">
        <v>853</v>
      </c>
      <c r="D41" s="658">
        <v>2007</v>
      </c>
      <c r="E41" s="651">
        <v>10</v>
      </c>
      <c r="F41" s="651" t="s">
        <v>311</v>
      </c>
      <c r="G41" s="651">
        <v>8.1</v>
      </c>
      <c r="H41" s="659">
        <v>0.4083333333333334</v>
      </c>
      <c r="I41" s="659">
        <v>4.9</v>
      </c>
      <c r="J41" s="653">
        <v>8.18</v>
      </c>
      <c r="K41" s="651"/>
      <c r="L41" s="654"/>
      <c r="M41" s="654"/>
      <c r="N41" s="651"/>
      <c r="O41" s="651"/>
      <c r="P41" s="653"/>
    </row>
    <row r="42" spans="1:16" ht="37.5">
      <c r="A42" s="652">
        <v>38</v>
      </c>
      <c r="B42" s="657" t="s">
        <v>921</v>
      </c>
      <c r="C42" s="657" t="s">
        <v>922</v>
      </c>
      <c r="D42" s="658">
        <v>1995</v>
      </c>
      <c r="E42" s="651">
        <v>10</v>
      </c>
      <c r="F42" s="651" t="s">
        <v>311</v>
      </c>
      <c r="G42" s="651">
        <v>17.8</v>
      </c>
      <c r="H42" s="659">
        <v>0.06833333333333333</v>
      </c>
      <c r="I42" s="659">
        <v>0.82</v>
      </c>
      <c r="J42" s="653">
        <v>0</v>
      </c>
      <c r="K42" s="651"/>
      <c r="L42" s="654"/>
      <c r="M42" s="654"/>
      <c r="N42" s="651"/>
      <c r="O42" s="651"/>
      <c r="P42" s="653"/>
    </row>
    <row r="43" spans="1:16" ht="37.5">
      <c r="A43" s="652">
        <v>39</v>
      </c>
      <c r="B43" s="657" t="s">
        <v>834</v>
      </c>
      <c r="C43" s="657" t="s">
        <v>922</v>
      </c>
      <c r="D43" s="658">
        <v>1988</v>
      </c>
      <c r="E43" s="651">
        <v>10</v>
      </c>
      <c r="F43" s="651" t="s">
        <v>311</v>
      </c>
      <c r="G43" s="651">
        <v>22</v>
      </c>
      <c r="H43" s="659">
        <v>0.047499999999999994</v>
      </c>
      <c r="I43" s="659">
        <v>0.57</v>
      </c>
      <c r="J43" s="653">
        <v>0</v>
      </c>
      <c r="K43" s="651"/>
      <c r="L43" s="654"/>
      <c r="M43" s="654"/>
      <c r="N43" s="651"/>
      <c r="O43" s="651"/>
      <c r="P43" s="653"/>
    </row>
    <row r="44" spans="1:16" ht="37.5">
      <c r="A44" s="652">
        <v>40</v>
      </c>
      <c r="B44" s="657" t="s">
        <v>875</v>
      </c>
      <c r="C44" s="657" t="s">
        <v>923</v>
      </c>
      <c r="D44" s="658">
        <v>1986</v>
      </c>
      <c r="E44" s="651">
        <v>10</v>
      </c>
      <c r="F44" s="651" t="s">
        <v>311</v>
      </c>
      <c r="G44" s="651">
        <v>29</v>
      </c>
      <c r="H44" s="659">
        <v>0.3666666666666667</v>
      </c>
      <c r="I44" s="659">
        <v>4.4</v>
      </c>
      <c r="J44" s="653">
        <v>0</v>
      </c>
      <c r="K44" s="651"/>
      <c r="L44" s="654"/>
      <c r="M44" s="654"/>
      <c r="N44" s="651"/>
      <c r="O44" s="651"/>
      <c r="P44" s="653"/>
    </row>
    <row r="45" spans="1:16" ht="37.5">
      <c r="A45" s="652">
        <v>41</v>
      </c>
      <c r="B45" s="657" t="s">
        <v>875</v>
      </c>
      <c r="C45" s="657" t="s">
        <v>923</v>
      </c>
      <c r="D45" s="658">
        <v>1987</v>
      </c>
      <c r="E45" s="651">
        <v>10</v>
      </c>
      <c r="F45" s="651" t="s">
        <v>311</v>
      </c>
      <c r="G45" s="651">
        <v>29</v>
      </c>
      <c r="H45" s="659">
        <v>0.5191666666666667</v>
      </c>
      <c r="I45" s="659">
        <v>6.23</v>
      </c>
      <c r="J45" s="653">
        <v>0</v>
      </c>
      <c r="K45" s="651"/>
      <c r="L45" s="654"/>
      <c r="M45" s="654"/>
      <c r="N45" s="651"/>
      <c r="O45" s="651"/>
      <c r="P45" s="653"/>
    </row>
    <row r="46" spans="1:16" ht="37.5">
      <c r="A46" s="652">
        <v>42</v>
      </c>
      <c r="B46" s="657" t="s">
        <v>875</v>
      </c>
      <c r="C46" s="657" t="s">
        <v>923</v>
      </c>
      <c r="D46" s="658">
        <v>1986</v>
      </c>
      <c r="E46" s="651">
        <v>10</v>
      </c>
      <c r="F46" s="651" t="s">
        <v>311</v>
      </c>
      <c r="G46" s="651">
        <v>29</v>
      </c>
      <c r="H46" s="659">
        <v>0.38833333333333336</v>
      </c>
      <c r="I46" s="659">
        <v>4.66</v>
      </c>
      <c r="J46" s="653">
        <v>0</v>
      </c>
      <c r="K46" s="651"/>
      <c r="L46" s="654"/>
      <c r="M46" s="654"/>
      <c r="N46" s="655"/>
      <c r="O46" s="651"/>
      <c r="P46" s="653"/>
    </row>
    <row r="47" spans="1:16" ht="37.5">
      <c r="A47" s="652">
        <v>43</v>
      </c>
      <c r="B47" s="657" t="s">
        <v>850</v>
      </c>
      <c r="C47" s="657" t="s">
        <v>879</v>
      </c>
      <c r="D47" s="658">
        <v>1993</v>
      </c>
      <c r="E47" s="651">
        <v>10</v>
      </c>
      <c r="F47" s="651" t="s">
        <v>311</v>
      </c>
      <c r="G47" s="651">
        <v>32</v>
      </c>
      <c r="H47" s="659">
        <v>0.19416666666666668</v>
      </c>
      <c r="I47" s="659">
        <v>2.33</v>
      </c>
      <c r="J47" s="653">
        <v>0</v>
      </c>
      <c r="K47" s="651"/>
      <c r="L47" s="654"/>
      <c r="M47" s="651"/>
      <c r="N47" s="653"/>
      <c r="O47" s="651"/>
      <c r="P47" s="653"/>
    </row>
    <row r="48" spans="1:16" ht="37.5">
      <c r="A48" s="652">
        <v>44</v>
      </c>
      <c r="B48" s="657" t="s">
        <v>924</v>
      </c>
      <c r="C48" s="657" t="s">
        <v>925</v>
      </c>
      <c r="D48" s="658">
        <v>2008</v>
      </c>
      <c r="E48" s="651">
        <v>10</v>
      </c>
      <c r="F48" s="651" t="s">
        <v>311</v>
      </c>
      <c r="G48" s="651">
        <v>22</v>
      </c>
      <c r="H48" s="659">
        <v>0.11</v>
      </c>
      <c r="I48" s="659">
        <v>1.32</v>
      </c>
      <c r="J48" s="653">
        <v>152.22</v>
      </c>
      <c r="K48" s="651"/>
      <c r="L48" s="654"/>
      <c r="M48" s="651"/>
      <c r="N48" s="656"/>
      <c r="O48" s="651"/>
      <c r="P48" s="653"/>
    </row>
    <row r="49" spans="1:16" ht="37.5">
      <c r="A49" s="652">
        <v>45</v>
      </c>
      <c r="B49" s="657" t="s">
        <v>883</v>
      </c>
      <c r="C49" s="657" t="s">
        <v>926</v>
      </c>
      <c r="D49" s="658">
        <v>1998</v>
      </c>
      <c r="E49" s="651">
        <v>10</v>
      </c>
      <c r="F49" s="651" t="s">
        <v>311</v>
      </c>
      <c r="G49" s="651">
        <v>16.9</v>
      </c>
      <c r="H49" s="659">
        <v>0.33</v>
      </c>
      <c r="I49" s="659">
        <v>3.96</v>
      </c>
      <c r="J49" s="653">
        <v>0</v>
      </c>
      <c r="K49" s="651"/>
      <c r="L49" s="654"/>
      <c r="M49" s="654"/>
      <c r="N49" s="655"/>
      <c r="O49" s="651"/>
      <c r="P49" s="653"/>
    </row>
    <row r="50" spans="1:16" ht="37.5">
      <c r="A50" s="652">
        <v>46</v>
      </c>
      <c r="B50" s="657" t="s">
        <v>927</v>
      </c>
      <c r="C50" s="657" t="s">
        <v>926</v>
      </c>
      <c r="D50" s="658">
        <v>1984</v>
      </c>
      <c r="E50" s="651">
        <v>10</v>
      </c>
      <c r="F50" s="651" t="s">
        <v>311</v>
      </c>
      <c r="G50" s="651">
        <v>18</v>
      </c>
      <c r="H50" s="659">
        <v>0</v>
      </c>
      <c r="I50" s="659">
        <v>0</v>
      </c>
      <c r="J50" s="653">
        <v>0</v>
      </c>
      <c r="K50" s="651"/>
      <c r="L50" s="654"/>
      <c r="M50" s="651"/>
      <c r="N50" s="653"/>
      <c r="O50" s="651"/>
      <c r="P50" s="651"/>
    </row>
    <row r="51" spans="1:16" ht="37.5">
      <c r="A51" s="652">
        <v>47</v>
      </c>
      <c r="B51" s="657" t="s">
        <v>928</v>
      </c>
      <c r="C51" s="657" t="s">
        <v>929</v>
      </c>
      <c r="D51" s="658">
        <v>2005</v>
      </c>
      <c r="E51" s="651">
        <v>10</v>
      </c>
      <c r="F51" s="651" t="s">
        <v>311</v>
      </c>
      <c r="G51" s="651">
        <v>13.6</v>
      </c>
      <c r="H51" s="659">
        <v>0.14</v>
      </c>
      <c r="I51" s="659">
        <v>1.66</v>
      </c>
      <c r="J51" s="653">
        <v>0</v>
      </c>
      <c r="K51" s="651"/>
      <c r="L51" s="654"/>
      <c r="M51" s="651"/>
      <c r="N51" s="655"/>
      <c r="O51" s="651"/>
      <c r="P51" s="651"/>
    </row>
    <row r="52" spans="1:16" ht="37.5">
      <c r="A52" s="652">
        <v>48</v>
      </c>
      <c r="B52" s="657" t="s">
        <v>930</v>
      </c>
      <c r="C52" s="657" t="s">
        <v>931</v>
      </c>
      <c r="D52" s="658">
        <v>1980</v>
      </c>
      <c r="E52" s="651">
        <v>10</v>
      </c>
      <c r="F52" s="651" t="s">
        <v>311</v>
      </c>
      <c r="G52" s="651">
        <v>40</v>
      </c>
      <c r="H52" s="659">
        <v>0.26</v>
      </c>
      <c r="I52" s="659">
        <v>3.12</v>
      </c>
      <c r="J52" s="653">
        <v>0</v>
      </c>
      <c r="K52" s="651"/>
      <c r="L52" s="654"/>
      <c r="M52" s="651"/>
      <c r="N52" s="653"/>
      <c r="O52" s="651"/>
      <c r="P52" s="651"/>
    </row>
    <row r="53" spans="1:16" ht="37.5">
      <c r="A53" s="652">
        <v>49</v>
      </c>
      <c r="B53" s="657" t="s">
        <v>876</v>
      </c>
      <c r="C53" s="657" t="s">
        <v>836</v>
      </c>
      <c r="D53" s="651">
        <v>1985</v>
      </c>
      <c r="E53" s="651">
        <v>10</v>
      </c>
      <c r="F53" s="651" t="s">
        <v>311</v>
      </c>
      <c r="G53" s="651">
        <v>28</v>
      </c>
      <c r="H53" s="659">
        <v>0.45</v>
      </c>
      <c r="I53" s="659">
        <v>5.45</v>
      </c>
      <c r="J53" s="653">
        <v>0</v>
      </c>
      <c r="K53" s="651"/>
      <c r="L53" s="651"/>
      <c r="M53" s="651"/>
      <c r="N53" s="651"/>
      <c r="O53" s="651"/>
      <c r="P53" s="651"/>
    </row>
    <row r="54" spans="1:16" ht="37.5">
      <c r="A54" s="652">
        <v>50</v>
      </c>
      <c r="B54" s="657" t="s">
        <v>876</v>
      </c>
      <c r="C54" s="657" t="s">
        <v>836</v>
      </c>
      <c r="D54" s="651">
        <v>1990</v>
      </c>
      <c r="E54" s="651">
        <v>10</v>
      </c>
      <c r="F54" s="651" t="s">
        <v>311</v>
      </c>
      <c r="G54" s="651">
        <v>28</v>
      </c>
      <c r="H54" s="659">
        <v>0.5</v>
      </c>
      <c r="I54" s="659">
        <v>5.4</v>
      </c>
      <c r="J54" s="653">
        <v>0</v>
      </c>
      <c r="K54" s="651"/>
      <c r="L54" s="651"/>
      <c r="M54" s="651"/>
      <c r="N54" s="651"/>
      <c r="O54" s="651"/>
      <c r="P54" s="651"/>
    </row>
    <row r="55" spans="1:16" ht="37.5">
      <c r="A55" s="652">
        <v>51</v>
      </c>
      <c r="B55" s="657" t="s">
        <v>876</v>
      </c>
      <c r="C55" s="657" t="s">
        <v>836</v>
      </c>
      <c r="D55" s="651">
        <v>1985</v>
      </c>
      <c r="E55" s="651">
        <v>10</v>
      </c>
      <c r="F55" s="651" t="s">
        <v>311</v>
      </c>
      <c r="G55" s="651">
        <v>28</v>
      </c>
      <c r="H55" s="659">
        <v>0.14</v>
      </c>
      <c r="I55" s="659">
        <v>1.67</v>
      </c>
      <c r="J55" s="653">
        <v>0</v>
      </c>
      <c r="K55" s="651"/>
      <c r="L55" s="651"/>
      <c r="M55" s="651"/>
      <c r="N55" s="651"/>
      <c r="O55" s="651"/>
      <c r="P55" s="651"/>
    </row>
    <row r="56" spans="1:16" ht="37.5">
      <c r="A56" s="652">
        <v>52</v>
      </c>
      <c r="B56" s="657" t="s">
        <v>850</v>
      </c>
      <c r="C56" s="657" t="s">
        <v>836</v>
      </c>
      <c r="D56" s="651">
        <v>1993</v>
      </c>
      <c r="E56" s="651">
        <v>10</v>
      </c>
      <c r="F56" s="651" t="s">
        <v>311</v>
      </c>
      <c r="G56" s="651">
        <v>18</v>
      </c>
      <c r="H56" s="659">
        <v>1.02</v>
      </c>
      <c r="I56" s="659">
        <v>12.35</v>
      </c>
      <c r="J56" s="653">
        <v>0</v>
      </c>
      <c r="K56" s="651"/>
      <c r="L56" s="654"/>
      <c r="M56" s="651"/>
      <c r="N56" s="653"/>
      <c r="O56" s="651"/>
      <c r="P56" s="651"/>
    </row>
    <row r="57" spans="1:16" ht="37.5">
      <c r="A57" s="652">
        <v>53</v>
      </c>
      <c r="B57" s="657" t="s">
        <v>932</v>
      </c>
      <c r="C57" s="657" t="s">
        <v>926</v>
      </c>
      <c r="D57" s="651">
        <v>2011</v>
      </c>
      <c r="E57" s="651">
        <v>10</v>
      </c>
      <c r="F57" s="651" t="s">
        <v>311</v>
      </c>
      <c r="G57" s="651">
        <v>13.9</v>
      </c>
      <c r="H57" s="659">
        <v>0.1</v>
      </c>
      <c r="I57" s="659">
        <v>1.15</v>
      </c>
      <c r="J57" s="653">
        <v>137.87</v>
      </c>
      <c r="K57" s="651"/>
      <c r="L57" s="651"/>
      <c r="M57" s="651"/>
      <c r="N57" s="651"/>
      <c r="O57" s="651"/>
      <c r="P57" s="651"/>
    </row>
    <row r="58" spans="1:16" ht="37.5">
      <c r="A58" s="652">
        <v>54</v>
      </c>
      <c r="B58" s="657" t="s">
        <v>883</v>
      </c>
      <c r="C58" s="657" t="s">
        <v>933</v>
      </c>
      <c r="D58" s="651">
        <v>1998</v>
      </c>
      <c r="E58" s="651">
        <v>10</v>
      </c>
      <c r="F58" s="651" t="s">
        <v>311</v>
      </c>
      <c r="G58" s="652">
        <v>16.9</v>
      </c>
      <c r="H58" s="659">
        <v>0.06</v>
      </c>
      <c r="I58" s="659">
        <v>0.79</v>
      </c>
      <c r="J58" s="653">
        <v>0</v>
      </c>
      <c r="K58" s="652"/>
      <c r="L58" s="652"/>
      <c r="M58" s="652"/>
      <c r="N58" s="652"/>
      <c r="O58" s="652"/>
      <c r="P58" s="652"/>
    </row>
    <row r="59" spans="1:16" ht="37.5">
      <c r="A59" s="652">
        <v>55</v>
      </c>
      <c r="B59" s="657" t="s">
        <v>831</v>
      </c>
      <c r="C59" s="657" t="s">
        <v>912</v>
      </c>
      <c r="D59" s="651">
        <v>1990</v>
      </c>
      <c r="E59" s="651">
        <v>10</v>
      </c>
      <c r="F59" s="651" t="s">
        <v>311</v>
      </c>
      <c r="G59" s="660" t="s">
        <v>934</v>
      </c>
      <c r="H59" s="659">
        <v>0.29</v>
      </c>
      <c r="I59" s="659">
        <v>3.5</v>
      </c>
      <c r="J59" s="653">
        <v>0</v>
      </c>
      <c r="K59" s="660"/>
      <c r="L59" s="660"/>
      <c r="M59" s="660"/>
      <c r="N59" s="660"/>
      <c r="O59" s="660"/>
      <c r="P59" s="660"/>
    </row>
    <row r="60" spans="1:16" ht="37.5">
      <c r="A60" s="652">
        <v>56</v>
      </c>
      <c r="B60" s="657" t="s">
        <v>935</v>
      </c>
      <c r="C60" s="657" t="s">
        <v>936</v>
      </c>
      <c r="D60" s="651">
        <v>1997</v>
      </c>
      <c r="E60" s="651">
        <v>10</v>
      </c>
      <c r="F60" s="651" t="s">
        <v>311</v>
      </c>
      <c r="G60" s="660" t="s">
        <v>937</v>
      </c>
      <c r="H60" s="659">
        <v>0.08</v>
      </c>
      <c r="I60" s="659">
        <v>1.06</v>
      </c>
      <c r="J60" s="653">
        <v>0</v>
      </c>
      <c r="K60" s="660"/>
      <c r="L60" s="660"/>
      <c r="M60" s="660"/>
      <c r="N60" s="660"/>
      <c r="O60" s="660"/>
      <c r="P60" s="660"/>
    </row>
    <row r="61" spans="1:16" ht="37.5">
      <c r="A61" s="652">
        <v>57</v>
      </c>
      <c r="B61" s="657" t="s">
        <v>832</v>
      </c>
      <c r="C61" s="657" t="s">
        <v>938</v>
      </c>
      <c r="D61" s="651">
        <v>1985</v>
      </c>
      <c r="E61" s="651">
        <v>10</v>
      </c>
      <c r="F61" s="651" t="s">
        <v>311</v>
      </c>
      <c r="G61" s="660" t="s">
        <v>939</v>
      </c>
      <c r="H61" s="659">
        <v>0.13</v>
      </c>
      <c r="I61" s="659">
        <v>1.66</v>
      </c>
      <c r="J61" s="653">
        <v>0</v>
      </c>
      <c r="K61" s="660"/>
      <c r="L61" s="660"/>
      <c r="M61" s="660"/>
      <c r="N61" s="660"/>
      <c r="O61" s="660"/>
      <c r="P61" s="660"/>
    </row>
    <row r="62" spans="1:16" ht="37.5">
      <c r="A62" s="652">
        <v>58</v>
      </c>
      <c r="B62" s="657" t="s">
        <v>940</v>
      </c>
      <c r="C62" s="657" t="s">
        <v>936</v>
      </c>
      <c r="D62" s="651">
        <v>1991</v>
      </c>
      <c r="E62" s="651">
        <v>10</v>
      </c>
      <c r="F62" s="651" t="s">
        <v>311</v>
      </c>
      <c r="G62" s="660" t="s">
        <v>941</v>
      </c>
      <c r="H62" s="659">
        <v>0.06</v>
      </c>
      <c r="I62" s="659">
        <v>0.76</v>
      </c>
      <c r="J62" s="653">
        <v>0</v>
      </c>
      <c r="K62" s="660"/>
      <c r="L62" s="660"/>
      <c r="M62" s="660"/>
      <c r="N62" s="660"/>
      <c r="O62" s="660"/>
      <c r="P62" s="660"/>
    </row>
    <row r="63" spans="1:16" ht="37.5">
      <c r="A63" s="652">
        <v>59</v>
      </c>
      <c r="B63" s="657" t="s">
        <v>942</v>
      </c>
      <c r="C63" s="657" t="s">
        <v>893</v>
      </c>
      <c r="D63" s="651">
        <v>1984</v>
      </c>
      <c r="E63" s="651">
        <v>10</v>
      </c>
      <c r="F63" s="651" t="s">
        <v>311</v>
      </c>
      <c r="G63" s="660"/>
      <c r="H63" s="659">
        <v>0.22</v>
      </c>
      <c r="I63" s="659">
        <v>2.66</v>
      </c>
      <c r="J63" s="653">
        <v>0</v>
      </c>
      <c r="K63" s="660"/>
      <c r="L63" s="660"/>
      <c r="M63" s="660"/>
      <c r="N63" s="660"/>
      <c r="O63" s="660"/>
      <c r="P63" s="660"/>
    </row>
    <row r="64" spans="1:16" ht="37.5">
      <c r="A64" s="652">
        <v>60</v>
      </c>
      <c r="B64" s="657" t="s">
        <v>942</v>
      </c>
      <c r="C64" s="657" t="s">
        <v>893</v>
      </c>
      <c r="D64" s="651">
        <v>1989</v>
      </c>
      <c r="E64" s="651">
        <v>10</v>
      </c>
      <c r="F64" s="651" t="s">
        <v>311</v>
      </c>
      <c r="G64" s="660"/>
      <c r="H64" s="659">
        <v>0.06</v>
      </c>
      <c r="I64" s="659">
        <v>0.71</v>
      </c>
      <c r="J64" s="653">
        <v>0</v>
      </c>
      <c r="K64" s="660"/>
      <c r="L64" s="660"/>
      <c r="M64" s="660"/>
      <c r="N64" s="660"/>
      <c r="O64" s="660"/>
      <c r="P64" s="660"/>
    </row>
    <row r="65" spans="1:16" ht="37.5">
      <c r="A65" s="652">
        <v>61</v>
      </c>
      <c r="B65" s="657" t="s">
        <v>942</v>
      </c>
      <c r="C65" s="657" t="s">
        <v>893</v>
      </c>
      <c r="D65" s="651">
        <v>1988</v>
      </c>
      <c r="E65" s="651">
        <v>10</v>
      </c>
      <c r="F65" s="651" t="s">
        <v>311</v>
      </c>
      <c r="G65" s="660"/>
      <c r="H65" s="659">
        <v>0.22</v>
      </c>
      <c r="I65" s="659">
        <v>2.66</v>
      </c>
      <c r="J65" s="653">
        <v>0</v>
      </c>
      <c r="K65" s="660"/>
      <c r="L65" s="660"/>
      <c r="M65" s="660"/>
      <c r="N65" s="660"/>
      <c r="O65" s="660"/>
      <c r="P65" s="660"/>
    </row>
    <row r="66" spans="1:16" ht="37.5">
      <c r="A66" s="652">
        <v>62</v>
      </c>
      <c r="B66" s="657" t="s">
        <v>942</v>
      </c>
      <c r="C66" s="657" t="s">
        <v>893</v>
      </c>
      <c r="D66" s="651">
        <v>1994</v>
      </c>
      <c r="E66" s="651">
        <v>10</v>
      </c>
      <c r="F66" s="651" t="s">
        <v>311</v>
      </c>
      <c r="G66" s="660"/>
      <c r="H66" s="659">
        <v>0.06</v>
      </c>
      <c r="I66" s="659">
        <v>0.71</v>
      </c>
      <c r="J66" s="653">
        <v>0</v>
      </c>
      <c r="K66" s="660"/>
      <c r="L66" s="660"/>
      <c r="M66" s="660"/>
      <c r="N66" s="660"/>
      <c r="O66" s="660"/>
      <c r="P66" s="660"/>
    </row>
    <row r="67" spans="1:16" ht="37.5">
      <c r="A67" s="652">
        <v>63</v>
      </c>
      <c r="B67" s="657" t="s">
        <v>943</v>
      </c>
      <c r="C67" s="657" t="s">
        <v>917</v>
      </c>
      <c r="D67" s="651">
        <v>1986</v>
      </c>
      <c r="E67" s="651">
        <v>10</v>
      </c>
      <c r="F67" s="651" t="s">
        <v>311</v>
      </c>
      <c r="G67" s="660"/>
      <c r="H67" s="659">
        <v>0.06</v>
      </c>
      <c r="I67" s="659">
        <v>0.71</v>
      </c>
      <c r="J67" s="653">
        <v>0</v>
      </c>
      <c r="K67" s="660"/>
      <c r="L67" s="660"/>
      <c r="M67" s="660"/>
      <c r="N67" s="660"/>
      <c r="O67" s="660"/>
      <c r="P67" s="660"/>
    </row>
    <row r="68" spans="1:16" ht="18.75">
      <c r="A68" s="652">
        <v>64</v>
      </c>
      <c r="B68" s="657" t="s">
        <v>944</v>
      </c>
      <c r="C68" s="657" t="s">
        <v>853</v>
      </c>
      <c r="D68" s="651">
        <v>2003</v>
      </c>
      <c r="E68" s="651">
        <v>10</v>
      </c>
      <c r="F68" s="651" t="s">
        <v>840</v>
      </c>
      <c r="G68" s="651">
        <v>11</v>
      </c>
      <c r="H68" s="661">
        <v>0.16</v>
      </c>
      <c r="I68" s="661">
        <v>1.93</v>
      </c>
      <c r="J68" s="653">
        <v>0</v>
      </c>
      <c r="K68" s="651"/>
      <c r="L68" s="651"/>
      <c r="M68" s="651"/>
      <c r="N68" s="651"/>
      <c r="O68" s="651"/>
      <c r="P68" s="651"/>
    </row>
    <row r="69" spans="1:16" ht="18.75">
      <c r="A69" s="652">
        <v>65</v>
      </c>
      <c r="B69" s="657" t="s">
        <v>945</v>
      </c>
      <c r="C69" s="657" t="s">
        <v>853</v>
      </c>
      <c r="D69" s="651">
        <v>1999</v>
      </c>
      <c r="E69" s="651">
        <v>10</v>
      </c>
      <c r="F69" s="651" t="s">
        <v>840</v>
      </c>
      <c r="G69" s="651">
        <v>13.9</v>
      </c>
      <c r="H69" s="661">
        <v>2.38</v>
      </c>
      <c r="I69" s="661">
        <v>1.86</v>
      </c>
      <c r="J69" s="653">
        <v>0</v>
      </c>
      <c r="K69" s="651"/>
      <c r="L69" s="651"/>
      <c r="M69" s="651"/>
      <c r="N69" s="651"/>
      <c r="O69" s="651"/>
      <c r="P69" s="651"/>
    </row>
    <row r="70" spans="1:16" ht="18.75">
      <c r="A70" s="652">
        <v>66</v>
      </c>
      <c r="B70" s="657" t="s">
        <v>835</v>
      </c>
      <c r="C70" s="657" t="s">
        <v>853</v>
      </c>
      <c r="D70" s="651">
        <v>1992</v>
      </c>
      <c r="E70" s="651">
        <v>10</v>
      </c>
      <c r="F70" s="651" t="s">
        <v>840</v>
      </c>
      <c r="G70" s="651">
        <v>12</v>
      </c>
      <c r="H70" s="661">
        <v>0.02</v>
      </c>
      <c r="I70" s="661">
        <v>2.71</v>
      </c>
      <c r="J70" s="653">
        <v>0</v>
      </c>
      <c r="K70" s="651"/>
      <c r="L70" s="651"/>
      <c r="M70" s="651"/>
      <c r="N70" s="651"/>
      <c r="O70" s="651"/>
      <c r="P70" s="651"/>
    </row>
    <row r="71" spans="1:16" ht="18.75">
      <c r="A71" s="652">
        <v>67</v>
      </c>
      <c r="B71" s="657" t="s">
        <v>946</v>
      </c>
      <c r="C71" s="657" t="s">
        <v>853</v>
      </c>
      <c r="D71" s="651">
        <v>1995</v>
      </c>
      <c r="E71" s="651">
        <v>10</v>
      </c>
      <c r="F71" s="651" t="s">
        <v>840</v>
      </c>
      <c r="G71" s="651">
        <v>16.7</v>
      </c>
      <c r="H71" s="661">
        <v>0.14</v>
      </c>
      <c r="I71" s="661">
        <v>1.74</v>
      </c>
      <c r="J71" s="653">
        <v>0</v>
      </c>
      <c r="K71" s="651"/>
      <c r="L71" s="651"/>
      <c r="M71" s="651"/>
      <c r="N71" s="651"/>
      <c r="O71" s="651"/>
      <c r="P71" s="651"/>
    </row>
    <row r="72" spans="1:16" ht="37.5">
      <c r="A72" s="652">
        <v>68</v>
      </c>
      <c r="B72" s="657" t="s">
        <v>947</v>
      </c>
      <c r="C72" s="657" t="s">
        <v>933</v>
      </c>
      <c r="D72" s="651">
        <v>2003</v>
      </c>
      <c r="E72" s="651">
        <v>10</v>
      </c>
      <c r="F72" s="651" t="s">
        <v>840</v>
      </c>
      <c r="G72" s="651">
        <v>17.9</v>
      </c>
      <c r="H72" s="661">
        <v>0.09</v>
      </c>
      <c r="I72" s="661">
        <v>0.3</v>
      </c>
      <c r="J72" s="653">
        <v>0</v>
      </c>
      <c r="K72" s="651"/>
      <c r="L72" s="651"/>
      <c r="M72" s="651"/>
      <c r="N72" s="651"/>
      <c r="O72" s="651"/>
      <c r="P72" s="651"/>
    </row>
    <row r="73" spans="1:16" ht="37.5">
      <c r="A73" s="652">
        <v>69</v>
      </c>
      <c r="B73" s="657" t="s">
        <v>948</v>
      </c>
      <c r="C73" s="657" t="s">
        <v>933</v>
      </c>
      <c r="D73" s="651">
        <v>1999</v>
      </c>
      <c r="E73" s="651">
        <v>10</v>
      </c>
      <c r="F73" s="651" t="s">
        <v>840</v>
      </c>
      <c r="G73" s="651">
        <v>19.1</v>
      </c>
      <c r="H73" s="661">
        <v>0.84</v>
      </c>
      <c r="I73" s="661">
        <v>10.08</v>
      </c>
      <c r="J73" s="653">
        <v>0</v>
      </c>
      <c r="K73" s="651"/>
      <c r="L73" s="651"/>
      <c r="M73" s="651"/>
      <c r="N73" s="651"/>
      <c r="O73" s="651"/>
      <c r="P73" s="651"/>
    </row>
    <row r="74" spans="1:16" ht="37.5">
      <c r="A74" s="652">
        <v>70</v>
      </c>
      <c r="B74" s="657" t="s">
        <v>883</v>
      </c>
      <c r="C74" s="657" t="s">
        <v>933</v>
      </c>
      <c r="D74" s="651">
        <v>1998</v>
      </c>
      <c r="E74" s="651">
        <v>10</v>
      </c>
      <c r="F74" s="651" t="s">
        <v>840</v>
      </c>
      <c r="G74" s="651">
        <v>16.4</v>
      </c>
      <c r="H74" s="661">
        <v>1</v>
      </c>
      <c r="I74" s="661">
        <v>12</v>
      </c>
      <c r="J74" s="653">
        <v>0</v>
      </c>
      <c r="K74" s="651"/>
      <c r="L74" s="651"/>
      <c r="M74" s="651"/>
      <c r="N74" s="651"/>
      <c r="O74" s="651"/>
      <c r="P74" s="651"/>
    </row>
    <row r="75" spans="1:16" ht="18.75">
      <c r="A75" s="652">
        <v>71</v>
      </c>
      <c r="B75" s="657" t="s">
        <v>850</v>
      </c>
      <c r="C75" s="657" t="s">
        <v>838</v>
      </c>
      <c r="D75" s="651">
        <v>1993</v>
      </c>
      <c r="E75" s="651">
        <v>10</v>
      </c>
      <c r="F75" s="651" t="s">
        <v>840</v>
      </c>
      <c r="G75" s="651">
        <v>26</v>
      </c>
      <c r="H75" s="661">
        <v>0.03</v>
      </c>
      <c r="I75" s="661">
        <v>0.34</v>
      </c>
      <c r="J75" s="653">
        <v>0</v>
      </c>
      <c r="K75" s="651"/>
      <c r="L75" s="651"/>
      <c r="M75" s="651"/>
      <c r="N75" s="651"/>
      <c r="O75" s="651"/>
      <c r="P75" s="651"/>
    </row>
    <row r="76" spans="1:16" ht="37.5">
      <c r="A76" s="652">
        <v>72</v>
      </c>
      <c r="B76" s="657" t="s">
        <v>876</v>
      </c>
      <c r="C76" s="657" t="s">
        <v>933</v>
      </c>
      <c r="D76" s="651">
        <v>1992</v>
      </c>
      <c r="E76" s="651">
        <v>10</v>
      </c>
      <c r="F76" s="651" t="s">
        <v>840</v>
      </c>
      <c r="G76" s="651">
        <v>31</v>
      </c>
      <c r="H76" s="661">
        <v>0.04</v>
      </c>
      <c r="I76" s="661">
        <v>0.42</v>
      </c>
      <c r="J76" s="653">
        <v>0</v>
      </c>
      <c r="K76" s="651"/>
      <c r="L76" s="662"/>
      <c r="M76" s="651"/>
      <c r="N76" s="653"/>
      <c r="O76" s="651"/>
      <c r="P76" s="651"/>
    </row>
    <row r="77" spans="1:16" ht="37.5">
      <c r="A77" s="652">
        <v>73</v>
      </c>
      <c r="B77" s="657" t="s">
        <v>876</v>
      </c>
      <c r="C77" s="657" t="s">
        <v>933</v>
      </c>
      <c r="D77" s="651">
        <v>1992</v>
      </c>
      <c r="E77" s="651">
        <v>10</v>
      </c>
      <c r="F77" s="651" t="s">
        <v>840</v>
      </c>
      <c r="G77" s="651">
        <v>31</v>
      </c>
      <c r="H77" s="661">
        <v>0.07</v>
      </c>
      <c r="I77" s="661">
        <v>8.4</v>
      </c>
      <c r="J77" s="653">
        <v>0</v>
      </c>
      <c r="K77" s="651"/>
      <c r="L77" s="651"/>
      <c r="M77" s="651"/>
      <c r="N77" s="651"/>
      <c r="O77" s="651"/>
      <c r="P77" s="651"/>
    </row>
    <row r="78" spans="1:16" ht="37.5">
      <c r="A78" s="652">
        <v>74</v>
      </c>
      <c r="B78" s="657" t="s">
        <v>876</v>
      </c>
      <c r="C78" s="657" t="s">
        <v>933</v>
      </c>
      <c r="D78" s="651">
        <v>1986</v>
      </c>
      <c r="E78" s="651">
        <v>10</v>
      </c>
      <c r="F78" s="651" t="s">
        <v>840</v>
      </c>
      <c r="G78" s="651">
        <v>31</v>
      </c>
      <c r="H78" s="661">
        <v>0</v>
      </c>
      <c r="I78" s="661">
        <v>0.3</v>
      </c>
      <c r="J78" s="653">
        <v>0</v>
      </c>
      <c r="K78" s="651"/>
      <c r="L78" s="651"/>
      <c r="M78" s="651"/>
      <c r="N78" s="651"/>
      <c r="O78" s="651"/>
      <c r="P78" s="651"/>
    </row>
    <row r="79" spans="1:16" ht="37.5">
      <c r="A79" s="652">
        <v>75</v>
      </c>
      <c r="B79" s="657" t="s">
        <v>876</v>
      </c>
      <c r="C79" s="657" t="s">
        <v>933</v>
      </c>
      <c r="D79" s="651">
        <v>1983</v>
      </c>
      <c r="E79" s="651">
        <v>10</v>
      </c>
      <c r="F79" s="651" t="s">
        <v>840</v>
      </c>
      <c r="G79" s="651">
        <v>32</v>
      </c>
      <c r="H79" s="661">
        <v>0</v>
      </c>
      <c r="I79" s="661">
        <v>0.32</v>
      </c>
      <c r="J79" s="653">
        <v>0</v>
      </c>
      <c r="K79" s="651"/>
      <c r="L79" s="651"/>
      <c r="M79" s="651"/>
      <c r="N79" s="651"/>
      <c r="O79" s="651"/>
      <c r="P79" s="651"/>
    </row>
    <row r="80" spans="1:16" ht="18.75">
      <c r="A80" s="652">
        <v>76</v>
      </c>
      <c r="B80" s="657" t="s">
        <v>949</v>
      </c>
      <c r="C80" s="657" t="s">
        <v>950</v>
      </c>
      <c r="D80" s="651">
        <v>1994</v>
      </c>
      <c r="E80" s="651">
        <v>10</v>
      </c>
      <c r="F80" s="651" t="s">
        <v>840</v>
      </c>
      <c r="G80" s="651">
        <v>18</v>
      </c>
      <c r="H80" s="661">
        <v>0</v>
      </c>
      <c r="I80" s="661">
        <v>0.3</v>
      </c>
      <c r="J80" s="653">
        <v>0</v>
      </c>
      <c r="K80" s="651"/>
      <c r="L80" s="651"/>
      <c r="M80" s="651"/>
      <c r="N80" s="651"/>
      <c r="O80" s="651"/>
      <c r="P80" s="651"/>
    </row>
    <row r="81" spans="1:16" ht="18.75">
      <c r="A81" s="652">
        <v>77</v>
      </c>
      <c r="B81" s="657" t="s">
        <v>951</v>
      </c>
      <c r="C81" s="657" t="s">
        <v>952</v>
      </c>
      <c r="D81" s="651">
        <v>1967</v>
      </c>
      <c r="E81" s="651">
        <v>10</v>
      </c>
      <c r="F81" s="651" t="s">
        <v>840</v>
      </c>
      <c r="G81" s="651">
        <v>52.4</v>
      </c>
      <c r="H81" s="661">
        <v>0.03</v>
      </c>
      <c r="I81" s="661">
        <v>0.3</v>
      </c>
      <c r="J81" s="653">
        <v>0</v>
      </c>
      <c r="K81" s="651"/>
      <c r="L81" s="651"/>
      <c r="M81" s="651"/>
      <c r="N81" s="651"/>
      <c r="O81" s="651"/>
      <c r="P81" s="651"/>
    </row>
    <row r="82" spans="1:16" ht="18.75">
      <c r="A82" s="652">
        <v>78</v>
      </c>
      <c r="B82" s="657" t="s">
        <v>953</v>
      </c>
      <c r="C82" s="657" t="s">
        <v>954</v>
      </c>
      <c r="D82" s="651">
        <v>1988</v>
      </c>
      <c r="E82" s="651">
        <v>10</v>
      </c>
      <c r="F82" s="651" t="s">
        <v>840</v>
      </c>
      <c r="G82" s="651">
        <v>37</v>
      </c>
      <c r="H82" s="661">
        <v>0.01</v>
      </c>
      <c r="I82" s="661">
        <v>0.38</v>
      </c>
      <c r="J82" s="653">
        <v>0</v>
      </c>
      <c r="K82" s="651"/>
      <c r="L82" s="651"/>
      <c r="M82" s="651"/>
      <c r="N82" s="651"/>
      <c r="O82" s="651"/>
      <c r="P82" s="651"/>
    </row>
    <row r="83" spans="1:16" ht="18.75">
      <c r="A83" s="652">
        <v>79</v>
      </c>
      <c r="B83" s="657" t="s">
        <v>955</v>
      </c>
      <c r="C83" s="657" t="s">
        <v>956</v>
      </c>
      <c r="D83" s="651">
        <v>1990</v>
      </c>
      <c r="E83" s="651">
        <v>10</v>
      </c>
      <c r="F83" s="651" t="s">
        <v>840</v>
      </c>
      <c r="G83" s="651">
        <v>35.3</v>
      </c>
      <c r="H83" s="661">
        <v>0.04</v>
      </c>
      <c r="I83" s="661">
        <v>0.26</v>
      </c>
      <c r="J83" s="653">
        <v>0</v>
      </c>
      <c r="K83" s="651"/>
      <c r="L83" s="651"/>
      <c r="M83" s="651"/>
      <c r="N83" s="651"/>
      <c r="O83" s="651"/>
      <c r="P83" s="651"/>
    </row>
    <row r="84" spans="1:16" ht="18.75">
      <c r="A84" s="652">
        <v>80</v>
      </c>
      <c r="B84" s="657" t="s">
        <v>957</v>
      </c>
      <c r="C84" s="657" t="s">
        <v>958</v>
      </c>
      <c r="D84" s="651">
        <v>1989</v>
      </c>
      <c r="E84" s="651">
        <v>10</v>
      </c>
      <c r="F84" s="651" t="s">
        <v>840</v>
      </c>
      <c r="G84" s="651">
        <v>48</v>
      </c>
      <c r="H84" s="661">
        <v>1</v>
      </c>
      <c r="I84" s="661">
        <v>1</v>
      </c>
      <c r="J84" s="653">
        <v>0</v>
      </c>
      <c r="K84" s="651"/>
      <c r="L84" s="651"/>
      <c r="M84" s="651"/>
      <c r="N84" s="651"/>
      <c r="O84" s="651"/>
      <c r="P84" s="651"/>
    </row>
    <row r="85" spans="1:16" ht="37.5">
      <c r="A85" s="652">
        <v>81</v>
      </c>
      <c r="B85" s="657" t="s">
        <v>957</v>
      </c>
      <c r="C85" s="657" t="s">
        <v>959</v>
      </c>
      <c r="D85" s="651">
        <v>1979</v>
      </c>
      <c r="E85" s="651">
        <v>10</v>
      </c>
      <c r="F85" s="651" t="s">
        <v>840</v>
      </c>
      <c r="G85" s="651">
        <v>47</v>
      </c>
      <c r="H85" s="661">
        <v>0.25</v>
      </c>
      <c r="I85" s="661">
        <v>3.5</v>
      </c>
      <c r="J85" s="653">
        <v>0</v>
      </c>
      <c r="K85" s="651"/>
      <c r="L85" s="651"/>
      <c r="M85" s="651"/>
      <c r="N85" s="651"/>
      <c r="O85" s="651"/>
      <c r="P85" s="651"/>
    </row>
    <row r="86" spans="1:16" ht="18.75">
      <c r="A86" s="652">
        <v>82</v>
      </c>
      <c r="B86" s="657" t="s">
        <v>957</v>
      </c>
      <c r="C86" s="657" t="s">
        <v>958</v>
      </c>
      <c r="D86" s="651">
        <v>1988</v>
      </c>
      <c r="E86" s="651">
        <v>10</v>
      </c>
      <c r="F86" s="651" t="s">
        <v>840</v>
      </c>
      <c r="G86" s="651">
        <v>49</v>
      </c>
      <c r="H86" s="661">
        <v>1.59</v>
      </c>
      <c r="I86" s="661">
        <v>12</v>
      </c>
      <c r="J86" s="653">
        <v>0</v>
      </c>
      <c r="K86" s="651"/>
      <c r="L86" s="651"/>
      <c r="M86" s="651"/>
      <c r="N86" s="651"/>
      <c r="O86" s="651"/>
      <c r="P86" s="651"/>
    </row>
    <row r="87" spans="1:16" ht="18.75">
      <c r="A87" s="652">
        <v>83</v>
      </c>
      <c r="B87" s="657" t="s">
        <v>960</v>
      </c>
      <c r="C87" s="657" t="s">
        <v>954</v>
      </c>
      <c r="D87" s="651">
        <v>1989</v>
      </c>
      <c r="E87" s="651">
        <v>10</v>
      </c>
      <c r="F87" s="651" t="s">
        <v>840</v>
      </c>
      <c r="G87" s="651">
        <v>38.5</v>
      </c>
      <c r="H87" s="661">
        <v>0.03</v>
      </c>
      <c r="I87" s="661">
        <v>2.3</v>
      </c>
      <c r="J87" s="653">
        <v>0</v>
      </c>
      <c r="K87" s="651"/>
      <c r="L87" s="651"/>
      <c r="M87" s="651"/>
      <c r="N87" s="651"/>
      <c r="O87" s="651"/>
      <c r="P87" s="651"/>
    </row>
    <row r="88" spans="1:16" ht="18.75">
      <c r="A88" s="652">
        <v>84</v>
      </c>
      <c r="B88" s="657" t="s">
        <v>961</v>
      </c>
      <c r="C88" s="657" t="s">
        <v>954</v>
      </c>
      <c r="D88" s="651">
        <v>1988</v>
      </c>
      <c r="E88" s="651">
        <v>10</v>
      </c>
      <c r="F88" s="651" t="s">
        <v>840</v>
      </c>
      <c r="G88" s="651">
        <v>40</v>
      </c>
      <c r="H88" s="661">
        <v>1.11</v>
      </c>
      <c r="I88" s="661">
        <v>1.5</v>
      </c>
      <c r="J88" s="653">
        <v>0</v>
      </c>
      <c r="K88" s="651"/>
      <c r="L88" s="651"/>
      <c r="M88" s="651"/>
      <c r="N88" s="651"/>
      <c r="O88" s="651"/>
      <c r="P88" s="651"/>
    </row>
    <row r="89" spans="1:16" ht="37.5">
      <c r="A89" s="652">
        <v>85</v>
      </c>
      <c r="B89" s="657" t="s">
        <v>962</v>
      </c>
      <c r="C89" s="657" t="s">
        <v>954</v>
      </c>
      <c r="D89" s="651">
        <v>1991</v>
      </c>
      <c r="E89" s="651">
        <v>10</v>
      </c>
      <c r="F89" s="651" t="s">
        <v>840</v>
      </c>
      <c r="G89" s="651">
        <v>31</v>
      </c>
      <c r="H89" s="661">
        <v>2.66</v>
      </c>
      <c r="I89" s="661">
        <v>16</v>
      </c>
      <c r="J89" s="653">
        <v>0</v>
      </c>
      <c r="K89" s="651"/>
      <c r="L89" s="651"/>
      <c r="M89" s="651"/>
      <c r="N89" s="651"/>
      <c r="O89" s="651"/>
      <c r="P89" s="651"/>
    </row>
    <row r="90" spans="1:16" ht="18.75">
      <c r="A90" s="652">
        <v>86</v>
      </c>
      <c r="B90" s="657" t="s">
        <v>963</v>
      </c>
      <c r="C90" s="657" t="s">
        <v>954</v>
      </c>
      <c r="D90" s="651">
        <v>1994</v>
      </c>
      <c r="E90" s="651">
        <v>10</v>
      </c>
      <c r="F90" s="651" t="s">
        <v>840</v>
      </c>
      <c r="G90" s="651">
        <v>25</v>
      </c>
      <c r="H90" s="661">
        <v>0.03</v>
      </c>
      <c r="I90" s="661">
        <v>3</v>
      </c>
      <c r="J90" s="653">
        <v>0</v>
      </c>
      <c r="K90" s="651"/>
      <c r="L90" s="651"/>
      <c r="M90" s="651"/>
      <c r="N90" s="651"/>
      <c r="O90" s="651"/>
      <c r="P90" s="651"/>
    </row>
    <row r="91" spans="1:16" ht="18.75">
      <c r="A91" s="652">
        <v>87</v>
      </c>
      <c r="B91" s="657" t="s">
        <v>955</v>
      </c>
      <c r="C91" s="657" t="s">
        <v>964</v>
      </c>
      <c r="D91" s="651">
        <v>1990</v>
      </c>
      <c r="E91" s="651">
        <v>10</v>
      </c>
      <c r="F91" s="651" t="s">
        <v>840</v>
      </c>
      <c r="G91" s="651">
        <v>41</v>
      </c>
      <c r="H91" s="661">
        <v>1</v>
      </c>
      <c r="I91" s="661">
        <v>6.3</v>
      </c>
      <c r="J91" s="653">
        <v>0</v>
      </c>
      <c r="K91" s="651"/>
      <c r="L91" s="651"/>
      <c r="M91" s="651"/>
      <c r="N91" s="651"/>
      <c r="O91" s="651"/>
      <c r="P91" s="651"/>
    </row>
    <row r="92" spans="1:16" ht="31.5">
      <c r="A92" s="652">
        <v>88</v>
      </c>
      <c r="B92" s="657" t="s">
        <v>951</v>
      </c>
      <c r="C92" s="657" t="s">
        <v>965</v>
      </c>
      <c r="D92" s="651">
        <v>1987</v>
      </c>
      <c r="E92" s="651">
        <v>10</v>
      </c>
      <c r="F92" s="651" t="s">
        <v>840</v>
      </c>
      <c r="G92" s="651">
        <v>39</v>
      </c>
      <c r="H92" s="661">
        <v>0</v>
      </c>
      <c r="I92" s="661">
        <v>3</v>
      </c>
      <c r="J92" s="653">
        <v>0</v>
      </c>
      <c r="K92" s="651"/>
      <c r="L92" s="1411" t="s">
        <v>1344</v>
      </c>
      <c r="M92" s="1411" t="s">
        <v>2411</v>
      </c>
      <c r="N92" s="1411">
        <v>281.89</v>
      </c>
      <c r="O92" s="1411">
        <v>17</v>
      </c>
      <c r="P92" s="651"/>
    </row>
    <row r="93" spans="1:16" ht="18.75">
      <c r="A93" s="652">
        <v>89</v>
      </c>
      <c r="B93" s="657" t="s">
        <v>966</v>
      </c>
      <c r="C93" s="657" t="s">
        <v>967</v>
      </c>
      <c r="D93" s="651">
        <v>1990</v>
      </c>
      <c r="E93" s="651">
        <v>10</v>
      </c>
      <c r="F93" s="651" t="s">
        <v>840</v>
      </c>
      <c r="G93" s="651">
        <v>36</v>
      </c>
      <c r="H93" s="661">
        <v>0.06</v>
      </c>
      <c r="I93" s="661">
        <v>10</v>
      </c>
      <c r="J93" s="653">
        <v>0</v>
      </c>
      <c r="K93" s="651"/>
      <c r="L93" s="651"/>
      <c r="M93" s="651"/>
      <c r="N93" s="651"/>
      <c r="O93" s="651"/>
      <c r="P93" s="651"/>
    </row>
    <row r="94" spans="1:16" ht="18.75">
      <c r="A94" s="652">
        <v>90</v>
      </c>
      <c r="B94" s="657" t="s">
        <v>832</v>
      </c>
      <c r="C94" s="657" t="s">
        <v>968</v>
      </c>
      <c r="D94" s="651">
        <v>1997</v>
      </c>
      <c r="E94" s="651">
        <v>10</v>
      </c>
      <c r="F94" s="651" t="s">
        <v>840</v>
      </c>
      <c r="G94" s="651" t="s">
        <v>969</v>
      </c>
      <c r="H94" s="661"/>
      <c r="I94" s="661">
        <v>2</v>
      </c>
      <c r="J94" s="653">
        <v>0</v>
      </c>
      <c r="K94" s="651"/>
      <c r="L94" s="654"/>
      <c r="M94" s="654"/>
      <c r="N94" s="651"/>
      <c r="O94" s="651"/>
      <c r="P94" s="653"/>
    </row>
    <row r="95" spans="1:16" ht="18.75">
      <c r="A95" s="652">
        <v>91</v>
      </c>
      <c r="B95" s="657" t="s">
        <v>970</v>
      </c>
      <c r="C95" s="657" t="s">
        <v>971</v>
      </c>
      <c r="D95" s="651">
        <v>1989</v>
      </c>
      <c r="E95" s="651">
        <v>10</v>
      </c>
      <c r="F95" s="651" t="s">
        <v>840</v>
      </c>
      <c r="G95" s="651" t="s">
        <v>969</v>
      </c>
      <c r="H95" s="661">
        <v>0.18</v>
      </c>
      <c r="I95" s="661">
        <v>5</v>
      </c>
      <c r="J95" s="653">
        <v>0</v>
      </c>
      <c r="K95" s="651"/>
      <c r="L95" s="654"/>
      <c r="M95" s="654"/>
      <c r="N95" s="655"/>
      <c r="O95" s="651"/>
      <c r="P95" s="653"/>
    </row>
    <row r="96" spans="1:16" ht="37.5">
      <c r="A96" s="652">
        <v>92</v>
      </c>
      <c r="B96" s="657" t="s">
        <v>891</v>
      </c>
      <c r="C96" s="657" t="s">
        <v>972</v>
      </c>
      <c r="D96" s="651">
        <v>1984</v>
      </c>
      <c r="E96" s="651">
        <v>10</v>
      </c>
      <c r="F96" s="651" t="s">
        <v>840</v>
      </c>
      <c r="G96" s="651" t="s">
        <v>973</v>
      </c>
      <c r="H96" s="661">
        <v>0</v>
      </c>
      <c r="I96" s="661">
        <v>6</v>
      </c>
      <c r="J96" s="653">
        <v>0</v>
      </c>
      <c r="K96" s="651"/>
      <c r="L96" s="654"/>
      <c r="M96" s="654"/>
      <c r="N96" s="655"/>
      <c r="O96" s="651"/>
      <c r="P96" s="653"/>
    </row>
    <row r="97" spans="1:16" ht="42" customHeight="1">
      <c r="A97" s="652">
        <v>93</v>
      </c>
      <c r="B97" s="657" t="s">
        <v>1660</v>
      </c>
      <c r="C97" s="657" t="s">
        <v>972</v>
      </c>
      <c r="D97" s="651">
        <v>1984</v>
      </c>
      <c r="E97" s="651">
        <v>10</v>
      </c>
      <c r="F97" s="651" t="s">
        <v>840</v>
      </c>
      <c r="G97" s="651" t="s">
        <v>974</v>
      </c>
      <c r="H97" s="661">
        <v>0</v>
      </c>
      <c r="I97" s="661">
        <v>4</v>
      </c>
      <c r="J97" s="653">
        <v>0</v>
      </c>
      <c r="K97" s="651"/>
      <c r="L97" s="654"/>
      <c r="M97" s="654"/>
      <c r="N97" s="655"/>
      <c r="O97" s="651"/>
      <c r="P97" s="653"/>
    </row>
    <row r="98" spans="1:16" ht="37.5">
      <c r="A98" s="652">
        <v>94</v>
      </c>
      <c r="B98" s="657" t="s">
        <v>975</v>
      </c>
      <c r="C98" s="657" t="s">
        <v>976</v>
      </c>
      <c r="D98" s="651">
        <v>2000</v>
      </c>
      <c r="E98" s="651">
        <v>10</v>
      </c>
      <c r="F98" s="651" t="s">
        <v>840</v>
      </c>
      <c r="G98" s="651">
        <v>17.9</v>
      </c>
      <c r="H98" s="661">
        <v>0.13</v>
      </c>
      <c r="I98" s="661">
        <v>1.58</v>
      </c>
      <c r="J98" s="653">
        <v>0</v>
      </c>
      <c r="K98" s="651"/>
      <c r="L98" s="654"/>
      <c r="M98" s="654"/>
      <c r="N98" s="655"/>
      <c r="O98" s="651"/>
      <c r="P98" s="653"/>
    </row>
    <row r="99" spans="1:16" ht="37.5">
      <c r="A99" s="652">
        <v>95</v>
      </c>
      <c r="B99" s="657" t="s">
        <v>876</v>
      </c>
      <c r="C99" s="657" t="s">
        <v>977</v>
      </c>
      <c r="D99" s="651">
        <v>1981</v>
      </c>
      <c r="E99" s="651">
        <v>10</v>
      </c>
      <c r="F99" s="651" t="s">
        <v>840</v>
      </c>
      <c r="G99" s="651">
        <v>32</v>
      </c>
      <c r="H99" s="661">
        <v>0.08</v>
      </c>
      <c r="I99" s="661">
        <v>1</v>
      </c>
      <c r="J99" s="653">
        <v>0</v>
      </c>
      <c r="K99" s="651"/>
      <c r="L99" s="654"/>
      <c r="M99" s="654"/>
      <c r="N99" s="655"/>
      <c r="O99" s="651"/>
      <c r="P99" s="653"/>
    </row>
    <row r="100" spans="1:16" ht="37.5">
      <c r="A100" s="652">
        <v>96</v>
      </c>
      <c r="B100" s="657" t="s">
        <v>876</v>
      </c>
      <c r="C100" s="657" t="s">
        <v>978</v>
      </c>
      <c r="D100" s="651">
        <v>1992</v>
      </c>
      <c r="E100" s="651">
        <v>10</v>
      </c>
      <c r="F100" s="651" t="s">
        <v>840</v>
      </c>
      <c r="G100" s="651">
        <v>31</v>
      </c>
      <c r="H100" s="661">
        <v>0</v>
      </c>
      <c r="I100" s="661">
        <v>2</v>
      </c>
      <c r="J100" s="653">
        <v>0</v>
      </c>
      <c r="K100" s="651"/>
      <c r="L100" s="654"/>
      <c r="M100" s="654"/>
      <c r="N100" s="655"/>
      <c r="O100" s="651"/>
      <c r="P100" s="653"/>
    </row>
    <row r="101" spans="1:16" ht="37.5">
      <c r="A101" s="652">
        <v>97</v>
      </c>
      <c r="B101" s="657" t="s">
        <v>957</v>
      </c>
      <c r="C101" s="657" t="s">
        <v>979</v>
      </c>
      <c r="D101" s="651">
        <v>1982</v>
      </c>
      <c r="E101" s="651">
        <v>10</v>
      </c>
      <c r="F101" s="651" t="s">
        <v>840</v>
      </c>
      <c r="G101" s="651">
        <v>43</v>
      </c>
      <c r="H101" s="661">
        <v>0.03</v>
      </c>
      <c r="I101" s="661">
        <v>9</v>
      </c>
      <c r="J101" s="653">
        <v>0</v>
      </c>
      <c r="K101" s="651"/>
      <c r="L101" s="654"/>
      <c r="M101" s="654"/>
      <c r="N101" s="655"/>
      <c r="O101" s="651"/>
      <c r="P101" s="653"/>
    </row>
    <row r="102" spans="1:16" ht="37.5">
      <c r="A102" s="652">
        <v>98</v>
      </c>
      <c r="B102" s="657" t="s">
        <v>980</v>
      </c>
      <c r="C102" s="657" t="s">
        <v>981</v>
      </c>
      <c r="D102" s="651">
        <v>1974</v>
      </c>
      <c r="E102" s="651">
        <v>10</v>
      </c>
      <c r="F102" s="651" t="s">
        <v>840</v>
      </c>
      <c r="G102" s="651" t="s">
        <v>969</v>
      </c>
      <c r="H102" s="661">
        <v>0</v>
      </c>
      <c r="I102" s="661">
        <v>1.8</v>
      </c>
      <c r="J102" s="653">
        <v>0</v>
      </c>
      <c r="K102" s="651"/>
      <c r="L102" s="654"/>
      <c r="M102" s="654"/>
      <c r="N102" s="655"/>
      <c r="O102" s="651"/>
      <c r="P102" s="653"/>
    </row>
    <row r="103" spans="1:16" ht="37.5">
      <c r="A103" s="652">
        <v>99</v>
      </c>
      <c r="B103" s="657" t="s">
        <v>850</v>
      </c>
      <c r="C103" s="657" t="s">
        <v>982</v>
      </c>
      <c r="D103" s="651">
        <v>1992</v>
      </c>
      <c r="E103" s="651">
        <v>10</v>
      </c>
      <c r="F103" s="651" t="s">
        <v>840</v>
      </c>
      <c r="G103" s="651">
        <v>27</v>
      </c>
      <c r="H103" s="661">
        <v>0.55</v>
      </c>
      <c r="I103" s="661">
        <v>6</v>
      </c>
      <c r="J103" s="653">
        <v>0</v>
      </c>
      <c r="K103" s="651"/>
      <c r="L103" s="654"/>
      <c r="M103" s="654"/>
      <c r="N103" s="655"/>
      <c r="O103" s="651"/>
      <c r="P103" s="653"/>
    </row>
    <row r="104" spans="1:16" ht="37.5">
      <c r="A104" s="652">
        <v>100</v>
      </c>
      <c r="B104" s="657" t="s">
        <v>883</v>
      </c>
      <c r="C104" s="657" t="s">
        <v>983</v>
      </c>
      <c r="D104" s="651">
        <v>1999</v>
      </c>
      <c r="E104" s="651">
        <v>10</v>
      </c>
      <c r="F104" s="651" t="s">
        <v>840</v>
      </c>
      <c r="G104" s="651">
        <v>16.4</v>
      </c>
      <c r="H104" s="661">
        <v>0.75</v>
      </c>
      <c r="I104" s="661">
        <v>9</v>
      </c>
      <c r="J104" s="653">
        <v>0</v>
      </c>
      <c r="K104" s="651"/>
      <c r="L104" s="654"/>
      <c r="M104" s="654"/>
      <c r="N104" s="655"/>
      <c r="O104" s="651"/>
      <c r="P104" s="653"/>
    </row>
    <row r="105" spans="1:16" ht="18.75">
      <c r="A105" s="652">
        <v>101</v>
      </c>
      <c r="B105" s="657" t="s">
        <v>984</v>
      </c>
      <c r="C105" s="657" t="s">
        <v>985</v>
      </c>
      <c r="D105" s="651">
        <v>2012</v>
      </c>
      <c r="E105" s="651">
        <v>10</v>
      </c>
      <c r="F105" s="651" t="s">
        <v>840</v>
      </c>
      <c r="G105" s="651">
        <v>23</v>
      </c>
      <c r="H105" s="661">
        <v>0.16</v>
      </c>
      <c r="I105" s="661">
        <v>1</v>
      </c>
      <c r="J105" s="653">
        <v>0.29</v>
      </c>
      <c r="K105" s="651"/>
      <c r="L105" s="654"/>
      <c r="M105" s="654"/>
      <c r="N105" s="655"/>
      <c r="O105" s="651"/>
      <c r="P105" s="653"/>
    </row>
    <row r="106" spans="1:16" ht="18.75">
      <c r="A106" s="652">
        <v>102</v>
      </c>
      <c r="B106" s="663" t="s">
        <v>986</v>
      </c>
      <c r="C106" s="663" t="s">
        <v>987</v>
      </c>
      <c r="D106" s="651">
        <v>1981</v>
      </c>
      <c r="E106" s="651">
        <v>10</v>
      </c>
      <c r="F106" s="651" t="s">
        <v>840</v>
      </c>
      <c r="G106" s="651"/>
      <c r="H106" s="661">
        <v>0</v>
      </c>
      <c r="I106" s="661">
        <v>0</v>
      </c>
      <c r="J106" s="653">
        <v>0</v>
      </c>
      <c r="K106" s="651"/>
      <c r="L106" s="654"/>
      <c r="M106" s="654"/>
      <c r="N106" s="655"/>
      <c r="O106" s="651"/>
      <c r="P106" s="653"/>
    </row>
    <row r="107" spans="1:16" ht="18.75">
      <c r="A107" s="652">
        <v>103</v>
      </c>
      <c r="B107" s="663" t="s">
        <v>988</v>
      </c>
      <c r="C107" s="663" t="s">
        <v>987</v>
      </c>
      <c r="D107" s="651">
        <v>1997</v>
      </c>
      <c r="E107" s="651">
        <v>10</v>
      </c>
      <c r="F107" s="651" t="s">
        <v>840</v>
      </c>
      <c r="G107" s="651"/>
      <c r="H107" s="661">
        <v>0</v>
      </c>
      <c r="I107" s="661">
        <v>0.4</v>
      </c>
      <c r="J107" s="653">
        <v>0</v>
      </c>
      <c r="K107" s="651"/>
      <c r="L107" s="654"/>
      <c r="M107" s="654"/>
      <c r="N107" s="655"/>
      <c r="O107" s="651"/>
      <c r="P107" s="653"/>
    </row>
    <row r="108" spans="1:16" ht="18.75">
      <c r="A108" s="652">
        <v>104</v>
      </c>
      <c r="B108" s="663" t="s">
        <v>988</v>
      </c>
      <c r="C108" s="663" t="s">
        <v>989</v>
      </c>
      <c r="D108" s="651">
        <v>1980</v>
      </c>
      <c r="E108" s="651">
        <v>10</v>
      </c>
      <c r="F108" s="651" t="s">
        <v>840</v>
      </c>
      <c r="G108" s="651"/>
      <c r="H108" s="661">
        <v>0</v>
      </c>
      <c r="I108" s="661">
        <v>0.4</v>
      </c>
      <c r="J108" s="653">
        <v>0</v>
      </c>
      <c r="K108" s="651"/>
      <c r="L108" s="654"/>
      <c r="M108" s="654"/>
      <c r="N108" s="655"/>
      <c r="O108" s="651"/>
      <c r="P108" s="653"/>
    </row>
    <row r="109" spans="1:16" ht="18.75">
      <c r="A109" s="652">
        <v>105</v>
      </c>
      <c r="B109" s="663" t="s">
        <v>990</v>
      </c>
      <c r="C109" s="663" t="s">
        <v>987</v>
      </c>
      <c r="D109" s="651">
        <v>1989</v>
      </c>
      <c r="E109" s="651">
        <v>10</v>
      </c>
      <c r="F109" s="651" t="s">
        <v>840</v>
      </c>
      <c r="G109" s="651"/>
      <c r="H109" s="661">
        <v>0</v>
      </c>
      <c r="I109" s="661">
        <v>0</v>
      </c>
      <c r="J109" s="653">
        <v>0</v>
      </c>
      <c r="K109" s="651"/>
      <c r="L109" s="654"/>
      <c r="M109" s="654"/>
      <c r="N109" s="655"/>
      <c r="O109" s="651"/>
      <c r="P109" s="653"/>
    </row>
    <row r="110" spans="1:16" ht="18.75">
      <c r="A110" s="652">
        <v>106</v>
      </c>
      <c r="B110" s="663" t="s">
        <v>991</v>
      </c>
      <c r="C110" s="663" t="s">
        <v>987</v>
      </c>
      <c r="D110" s="651">
        <v>1990</v>
      </c>
      <c r="E110" s="651">
        <v>10</v>
      </c>
      <c r="F110" s="651" t="s">
        <v>840</v>
      </c>
      <c r="G110" s="651"/>
      <c r="H110" s="661">
        <v>0</v>
      </c>
      <c r="I110" s="661">
        <v>0.4</v>
      </c>
      <c r="J110" s="653">
        <v>0</v>
      </c>
      <c r="K110" s="651"/>
      <c r="L110" s="654"/>
      <c r="M110" s="654"/>
      <c r="N110" s="655"/>
      <c r="O110" s="651"/>
      <c r="P110" s="653"/>
    </row>
    <row r="111" spans="1:16" ht="18.75">
      <c r="A111" s="652">
        <v>107</v>
      </c>
      <c r="B111" s="663" t="s">
        <v>991</v>
      </c>
      <c r="C111" s="663" t="s">
        <v>987</v>
      </c>
      <c r="D111" s="651">
        <v>1991</v>
      </c>
      <c r="E111" s="651">
        <v>10</v>
      </c>
      <c r="F111" s="651" t="s">
        <v>840</v>
      </c>
      <c r="G111" s="651"/>
      <c r="H111" s="661">
        <v>0</v>
      </c>
      <c r="I111" s="661">
        <v>0</v>
      </c>
      <c r="J111" s="653">
        <v>0</v>
      </c>
      <c r="K111" s="651"/>
      <c r="L111" s="654"/>
      <c r="M111" s="654"/>
      <c r="N111" s="655"/>
      <c r="O111" s="651"/>
      <c r="P111" s="653"/>
    </row>
    <row r="112" spans="1:16" ht="37.5">
      <c r="A112" s="652">
        <v>108</v>
      </c>
      <c r="B112" s="651" t="s">
        <v>992</v>
      </c>
      <c r="C112" s="651" t="s">
        <v>853</v>
      </c>
      <c r="D112" s="651">
        <v>1999</v>
      </c>
      <c r="E112" s="651">
        <v>10</v>
      </c>
      <c r="F112" s="651" t="s">
        <v>339</v>
      </c>
      <c r="G112" s="651">
        <v>8.3</v>
      </c>
      <c r="H112" s="653"/>
      <c r="I112" s="653">
        <v>1.8</v>
      </c>
      <c r="J112" s="653">
        <v>0</v>
      </c>
      <c r="K112" s="651"/>
      <c r="L112" s="654"/>
      <c r="M112" s="654"/>
      <c r="N112" s="651"/>
      <c r="O112" s="651"/>
      <c r="P112" s="653"/>
    </row>
    <row r="113" spans="1:16" ht="37.5">
      <c r="A113" s="652">
        <v>109</v>
      </c>
      <c r="B113" s="651" t="s">
        <v>918</v>
      </c>
      <c r="C113" s="651" t="s">
        <v>853</v>
      </c>
      <c r="D113" s="651">
        <v>1996</v>
      </c>
      <c r="E113" s="651">
        <v>10</v>
      </c>
      <c r="F113" s="651" t="s">
        <v>339</v>
      </c>
      <c r="G113" s="651">
        <v>16.7</v>
      </c>
      <c r="H113" s="653"/>
      <c r="I113" s="653">
        <v>3.8</v>
      </c>
      <c r="J113" s="653">
        <v>0</v>
      </c>
      <c r="K113" s="651"/>
      <c r="L113" s="654"/>
      <c r="M113" s="654"/>
      <c r="N113" s="655"/>
      <c r="O113" s="651"/>
      <c r="P113" s="653"/>
    </row>
    <row r="114" spans="1:16" ht="37.5">
      <c r="A114" s="652">
        <v>110</v>
      </c>
      <c r="B114" s="651" t="s">
        <v>855</v>
      </c>
      <c r="C114" s="651" t="s">
        <v>993</v>
      </c>
      <c r="D114" s="651">
        <v>1999</v>
      </c>
      <c r="E114" s="651">
        <v>10</v>
      </c>
      <c r="F114" s="651" t="s">
        <v>339</v>
      </c>
      <c r="G114" s="651">
        <v>17</v>
      </c>
      <c r="H114" s="653"/>
      <c r="I114" s="653">
        <v>3.6</v>
      </c>
      <c r="J114" s="653">
        <v>0</v>
      </c>
      <c r="K114" s="651"/>
      <c r="L114" s="1411" t="s">
        <v>1344</v>
      </c>
      <c r="M114" s="1411" t="s">
        <v>2411</v>
      </c>
      <c r="N114" s="1411">
        <v>281.89</v>
      </c>
      <c r="O114" s="1411">
        <v>17</v>
      </c>
      <c r="P114" s="653"/>
    </row>
    <row r="115" spans="1:16" ht="37.5">
      <c r="A115" s="652">
        <v>111</v>
      </c>
      <c r="B115" s="651" t="s">
        <v>948</v>
      </c>
      <c r="C115" s="651" t="s">
        <v>994</v>
      </c>
      <c r="D115" s="651">
        <v>2000</v>
      </c>
      <c r="E115" s="651">
        <v>10</v>
      </c>
      <c r="F115" s="651" t="s">
        <v>339</v>
      </c>
      <c r="G115" s="651">
        <v>19.1</v>
      </c>
      <c r="H115" s="653"/>
      <c r="I115" s="653">
        <v>0.8</v>
      </c>
      <c r="J115" s="653">
        <v>0</v>
      </c>
      <c r="K115" s="651"/>
      <c r="L115" s="654"/>
      <c r="M115" s="651"/>
      <c r="N115" s="656"/>
      <c r="O115" s="651"/>
      <c r="P115" s="653"/>
    </row>
    <row r="116" spans="1:16" ht="37.5">
      <c r="A116" s="652">
        <v>112</v>
      </c>
      <c r="B116" s="651" t="s">
        <v>975</v>
      </c>
      <c r="C116" s="651" t="s">
        <v>993</v>
      </c>
      <c r="D116" s="651">
        <v>2004</v>
      </c>
      <c r="E116" s="651">
        <v>10</v>
      </c>
      <c r="F116" s="651" t="s">
        <v>339</v>
      </c>
      <c r="G116" s="651">
        <v>17.5</v>
      </c>
      <c r="H116" s="653"/>
      <c r="I116" s="653">
        <v>0.2</v>
      </c>
      <c r="J116" s="653">
        <v>2.2</v>
      </c>
      <c r="K116" s="651"/>
      <c r="L116" s="654"/>
      <c r="M116" s="654"/>
      <c r="N116" s="655"/>
      <c r="O116" s="651"/>
      <c r="P116" s="653"/>
    </row>
    <row r="117" spans="1:16" ht="37.5">
      <c r="A117" s="652">
        <v>113</v>
      </c>
      <c r="B117" s="651" t="s">
        <v>885</v>
      </c>
      <c r="C117" s="651" t="s">
        <v>993</v>
      </c>
      <c r="D117" s="651">
        <v>2008</v>
      </c>
      <c r="E117" s="651">
        <v>10</v>
      </c>
      <c r="F117" s="651" t="s">
        <v>339</v>
      </c>
      <c r="G117" s="651">
        <v>17.5</v>
      </c>
      <c r="H117" s="653"/>
      <c r="I117" s="653">
        <v>0</v>
      </c>
      <c r="J117" s="653">
        <v>29.6</v>
      </c>
      <c r="K117" s="651"/>
      <c r="L117" s="654"/>
      <c r="M117" s="651"/>
      <c r="N117" s="653"/>
      <c r="O117" s="651"/>
      <c r="P117" s="651"/>
    </row>
    <row r="118" spans="1:16" ht="37.5">
      <c r="A118" s="652">
        <v>114</v>
      </c>
      <c r="B118" s="651" t="s">
        <v>995</v>
      </c>
      <c r="C118" s="651" t="s">
        <v>881</v>
      </c>
      <c r="D118" s="651">
        <v>1985</v>
      </c>
      <c r="E118" s="651">
        <v>10</v>
      </c>
      <c r="F118" s="651" t="s">
        <v>339</v>
      </c>
      <c r="G118" s="651" t="s">
        <v>996</v>
      </c>
      <c r="H118" s="653"/>
      <c r="I118" s="653">
        <v>0.6</v>
      </c>
      <c r="J118" s="653">
        <v>0</v>
      </c>
      <c r="K118" s="651"/>
      <c r="L118" s="654"/>
      <c r="M118" s="651"/>
      <c r="N118" s="655"/>
      <c r="O118" s="651"/>
      <c r="P118" s="651"/>
    </row>
    <row r="119" spans="1:16" ht="37.5">
      <c r="A119" s="652">
        <v>115</v>
      </c>
      <c r="B119" s="651" t="s">
        <v>995</v>
      </c>
      <c r="C119" s="651" t="s">
        <v>881</v>
      </c>
      <c r="D119" s="651">
        <v>1986</v>
      </c>
      <c r="E119" s="651">
        <v>10</v>
      </c>
      <c r="F119" s="651" t="s">
        <v>339</v>
      </c>
      <c r="G119" s="651" t="s">
        <v>996</v>
      </c>
      <c r="H119" s="653"/>
      <c r="I119" s="653">
        <v>0.9</v>
      </c>
      <c r="J119" s="653">
        <v>0</v>
      </c>
      <c r="K119" s="651"/>
      <c r="L119" s="654"/>
      <c r="M119" s="651"/>
      <c r="N119" s="653"/>
      <c r="O119" s="651"/>
      <c r="P119" s="651"/>
    </row>
    <row r="120" spans="1:16" ht="37.5">
      <c r="A120" s="652">
        <v>116</v>
      </c>
      <c r="B120" s="651" t="s">
        <v>995</v>
      </c>
      <c r="C120" s="651" t="s">
        <v>997</v>
      </c>
      <c r="D120" s="651">
        <v>1992</v>
      </c>
      <c r="E120" s="651">
        <v>10</v>
      </c>
      <c r="F120" s="651" t="s">
        <v>339</v>
      </c>
      <c r="G120" s="651">
        <v>27</v>
      </c>
      <c r="H120" s="653"/>
      <c r="I120" s="653">
        <v>0</v>
      </c>
      <c r="J120" s="653">
        <v>0</v>
      </c>
      <c r="K120" s="651"/>
      <c r="L120" s="651"/>
      <c r="M120" s="651"/>
      <c r="N120" s="651"/>
      <c r="O120" s="651"/>
      <c r="P120" s="651"/>
    </row>
    <row r="121" spans="1:16" ht="37.5">
      <c r="A121" s="652">
        <v>117</v>
      </c>
      <c r="B121" s="651" t="s">
        <v>876</v>
      </c>
      <c r="C121" s="651" t="s">
        <v>836</v>
      </c>
      <c r="D121" s="651">
        <v>1978</v>
      </c>
      <c r="E121" s="651">
        <v>10</v>
      </c>
      <c r="F121" s="651" t="s">
        <v>339</v>
      </c>
      <c r="G121" s="651">
        <v>32</v>
      </c>
      <c r="H121" s="653"/>
      <c r="I121" s="653">
        <v>1.2</v>
      </c>
      <c r="J121" s="653">
        <v>0</v>
      </c>
      <c r="K121" s="651"/>
      <c r="L121" s="651"/>
      <c r="M121" s="651"/>
      <c r="N121" s="651"/>
      <c r="O121" s="651"/>
      <c r="P121" s="651"/>
    </row>
    <row r="122" spans="1:16" ht="37.5">
      <c r="A122" s="652">
        <v>118</v>
      </c>
      <c r="B122" s="651" t="s">
        <v>876</v>
      </c>
      <c r="C122" s="651" t="s">
        <v>836</v>
      </c>
      <c r="D122" s="651">
        <v>1992</v>
      </c>
      <c r="E122" s="651">
        <v>10</v>
      </c>
      <c r="F122" s="651" t="s">
        <v>339</v>
      </c>
      <c r="G122" s="651">
        <v>32</v>
      </c>
      <c r="H122" s="653"/>
      <c r="I122" s="653">
        <v>0.3</v>
      </c>
      <c r="J122" s="653">
        <v>0</v>
      </c>
      <c r="K122" s="651"/>
      <c r="L122" s="651"/>
      <c r="M122" s="651"/>
      <c r="N122" s="651"/>
      <c r="O122" s="651"/>
      <c r="P122" s="651"/>
    </row>
    <row r="123" spans="1:16" ht="37.5">
      <c r="A123" s="652">
        <v>119</v>
      </c>
      <c r="B123" s="651" t="s">
        <v>876</v>
      </c>
      <c r="C123" s="651" t="s">
        <v>998</v>
      </c>
      <c r="D123" s="651">
        <v>1993</v>
      </c>
      <c r="E123" s="651">
        <v>10</v>
      </c>
      <c r="F123" s="651" t="s">
        <v>339</v>
      </c>
      <c r="G123" s="651" t="s">
        <v>999</v>
      </c>
      <c r="H123" s="653"/>
      <c r="I123" s="653">
        <v>0.6</v>
      </c>
      <c r="J123" s="653">
        <v>0</v>
      </c>
      <c r="K123" s="651"/>
      <c r="L123" s="654"/>
      <c r="M123" s="651"/>
      <c r="N123" s="653"/>
      <c r="O123" s="651"/>
      <c r="P123" s="651"/>
    </row>
    <row r="124" spans="1:16" ht="37.5">
      <c r="A124" s="652">
        <v>120</v>
      </c>
      <c r="B124" s="651" t="s">
        <v>924</v>
      </c>
      <c r="C124" s="651" t="s">
        <v>1000</v>
      </c>
      <c r="D124" s="651">
        <v>2012</v>
      </c>
      <c r="E124" s="651">
        <v>10</v>
      </c>
      <c r="F124" s="651" t="s">
        <v>339</v>
      </c>
      <c r="G124" s="651" t="s">
        <v>1001</v>
      </c>
      <c r="H124" s="653"/>
      <c r="I124" s="653">
        <v>2.2</v>
      </c>
      <c r="J124" s="653">
        <v>399.7</v>
      </c>
      <c r="K124" s="651"/>
      <c r="L124" s="654"/>
      <c r="M124" s="651"/>
      <c r="N124" s="653"/>
      <c r="O124" s="651"/>
      <c r="P124" s="651"/>
    </row>
    <row r="125" spans="1:16" ht="37.5">
      <c r="A125" s="652">
        <v>121</v>
      </c>
      <c r="B125" s="651" t="s">
        <v>1002</v>
      </c>
      <c r="C125" s="651" t="s">
        <v>931</v>
      </c>
      <c r="D125" s="651">
        <v>1992</v>
      </c>
      <c r="E125" s="651">
        <v>10</v>
      </c>
      <c r="F125" s="651" t="s">
        <v>339</v>
      </c>
      <c r="G125" s="651" t="s">
        <v>1003</v>
      </c>
      <c r="H125" s="653"/>
      <c r="I125" s="653">
        <v>0.4</v>
      </c>
      <c r="J125" s="653">
        <v>4.6</v>
      </c>
      <c r="K125" s="651"/>
      <c r="L125" s="654"/>
      <c r="M125" s="651"/>
      <c r="N125" s="653"/>
      <c r="O125" s="651"/>
      <c r="P125" s="651"/>
    </row>
    <row r="126" spans="1:16" ht="37.5">
      <c r="A126" s="652">
        <v>122</v>
      </c>
      <c r="B126" s="651" t="s">
        <v>831</v>
      </c>
      <c r="C126" s="651" t="s">
        <v>1004</v>
      </c>
      <c r="D126" s="651">
        <v>2002</v>
      </c>
      <c r="E126" s="651">
        <v>10</v>
      </c>
      <c r="F126" s="651" t="s">
        <v>339</v>
      </c>
      <c r="G126" s="651">
        <v>15.5</v>
      </c>
      <c r="H126" s="653"/>
      <c r="I126" s="653">
        <v>2.2</v>
      </c>
      <c r="J126" s="653">
        <v>0</v>
      </c>
      <c r="K126" s="651"/>
      <c r="L126" s="654"/>
      <c r="M126" s="651"/>
      <c r="N126" s="653"/>
      <c r="O126" s="651"/>
      <c r="P126" s="651"/>
    </row>
    <row r="127" spans="1:16" ht="37.5">
      <c r="A127" s="652">
        <v>123</v>
      </c>
      <c r="B127" s="651" t="s">
        <v>889</v>
      </c>
      <c r="C127" s="651" t="s">
        <v>849</v>
      </c>
      <c r="D127" s="651">
        <v>1986</v>
      </c>
      <c r="E127" s="651">
        <v>10</v>
      </c>
      <c r="F127" s="651" t="s">
        <v>339</v>
      </c>
      <c r="G127" s="651">
        <v>7.9</v>
      </c>
      <c r="H127" s="653"/>
      <c r="I127" s="653">
        <v>1</v>
      </c>
      <c r="J127" s="653">
        <v>0</v>
      </c>
      <c r="K127" s="651"/>
      <c r="L127" s="651"/>
      <c r="M127" s="651"/>
      <c r="N127" s="651"/>
      <c r="O127" s="651"/>
      <c r="P127" s="651"/>
    </row>
    <row r="128" spans="1:16" ht="37.5">
      <c r="A128" s="652">
        <v>124</v>
      </c>
      <c r="B128" s="651" t="s">
        <v>894</v>
      </c>
      <c r="C128" s="651" t="s">
        <v>893</v>
      </c>
      <c r="D128" s="651">
        <v>1988</v>
      </c>
      <c r="E128" s="651">
        <v>10</v>
      </c>
      <c r="F128" s="651" t="s">
        <v>339</v>
      </c>
      <c r="G128" s="651"/>
      <c r="H128" s="653"/>
      <c r="I128" s="653"/>
      <c r="J128" s="653"/>
      <c r="K128" s="651"/>
      <c r="L128" s="651"/>
      <c r="M128" s="651"/>
      <c r="N128" s="651"/>
      <c r="O128" s="651"/>
      <c r="P128" s="651"/>
    </row>
    <row r="129" spans="1:16" ht="37.5">
      <c r="A129" s="652">
        <v>125</v>
      </c>
      <c r="B129" s="651" t="s">
        <v>894</v>
      </c>
      <c r="C129" s="651" t="s">
        <v>893</v>
      </c>
      <c r="D129" s="651">
        <v>2001</v>
      </c>
      <c r="E129" s="651">
        <v>10</v>
      </c>
      <c r="F129" s="651" t="s">
        <v>339</v>
      </c>
      <c r="G129" s="651"/>
      <c r="H129" s="653"/>
      <c r="I129" s="653"/>
      <c r="J129" s="653"/>
      <c r="K129" s="651"/>
      <c r="L129" s="651"/>
      <c r="M129" s="651"/>
      <c r="N129" s="651"/>
      <c r="O129" s="651"/>
      <c r="P129" s="651"/>
    </row>
    <row r="130" spans="1:16" ht="37.5">
      <c r="A130" s="652">
        <v>126</v>
      </c>
      <c r="B130" s="651" t="s">
        <v>1005</v>
      </c>
      <c r="C130" s="651" t="s">
        <v>893</v>
      </c>
      <c r="D130" s="651">
        <v>1988</v>
      </c>
      <c r="E130" s="651">
        <v>10</v>
      </c>
      <c r="F130" s="651" t="s">
        <v>339</v>
      </c>
      <c r="G130" s="651"/>
      <c r="H130" s="653"/>
      <c r="I130" s="653"/>
      <c r="J130" s="653"/>
      <c r="K130" s="651"/>
      <c r="L130" s="651"/>
      <c r="M130" s="651"/>
      <c r="N130" s="651"/>
      <c r="O130" s="651"/>
      <c r="P130" s="651"/>
    </row>
    <row r="131" spans="1:16" ht="37.5">
      <c r="A131" s="652">
        <v>127</v>
      </c>
      <c r="B131" s="651" t="s">
        <v>1005</v>
      </c>
      <c r="C131" s="651" t="s">
        <v>893</v>
      </c>
      <c r="D131" s="651">
        <v>1988</v>
      </c>
      <c r="E131" s="651">
        <v>10</v>
      </c>
      <c r="F131" s="651" t="s">
        <v>339</v>
      </c>
      <c r="G131" s="651"/>
      <c r="H131" s="653"/>
      <c r="I131" s="653"/>
      <c r="J131" s="653"/>
      <c r="K131" s="651"/>
      <c r="L131" s="651"/>
      <c r="M131" s="651"/>
      <c r="N131" s="651"/>
      <c r="O131" s="651"/>
      <c r="P131" s="651"/>
    </row>
    <row r="132" spans="1:16" ht="36" customHeight="1">
      <c r="A132" s="652">
        <v>128</v>
      </c>
      <c r="B132" s="657" t="s">
        <v>1006</v>
      </c>
      <c r="C132" s="657" t="s">
        <v>1007</v>
      </c>
      <c r="D132" s="651">
        <v>1992</v>
      </c>
      <c r="E132" s="651">
        <v>10</v>
      </c>
      <c r="F132" s="657" t="s">
        <v>2166</v>
      </c>
      <c r="G132" s="657">
        <v>27.5</v>
      </c>
      <c r="H132" s="653">
        <v>0.7</v>
      </c>
      <c r="I132" s="653">
        <v>0.03</v>
      </c>
      <c r="J132" s="653">
        <v>0</v>
      </c>
      <c r="K132" s="651"/>
      <c r="L132" s="654"/>
      <c r="M132" s="654"/>
      <c r="N132" s="651"/>
      <c r="O132" s="651"/>
      <c r="P132" s="653"/>
    </row>
    <row r="133" spans="1:16" ht="37.5" customHeight="1">
      <c r="A133" s="652">
        <v>129</v>
      </c>
      <c r="B133" s="657" t="s">
        <v>1008</v>
      </c>
      <c r="C133" s="657" t="s">
        <v>1007</v>
      </c>
      <c r="D133" s="651">
        <v>1996</v>
      </c>
      <c r="E133" s="651">
        <v>10</v>
      </c>
      <c r="F133" s="657" t="s">
        <v>2166</v>
      </c>
      <c r="G133" s="657">
        <v>27.5</v>
      </c>
      <c r="H133" s="653">
        <v>0.7</v>
      </c>
      <c r="I133" s="653">
        <v>0.02</v>
      </c>
      <c r="J133" s="653">
        <v>0</v>
      </c>
      <c r="K133" s="651"/>
      <c r="L133" s="654"/>
      <c r="M133" s="654"/>
      <c r="N133" s="655"/>
      <c r="O133" s="651"/>
      <c r="P133" s="653"/>
    </row>
    <row r="134" spans="1:16" ht="39" customHeight="1">
      <c r="A134" s="652">
        <v>130</v>
      </c>
      <c r="B134" s="657" t="s">
        <v>1009</v>
      </c>
      <c r="C134" s="657" t="s">
        <v>1007</v>
      </c>
      <c r="D134" s="651">
        <v>1987</v>
      </c>
      <c r="E134" s="651">
        <v>10</v>
      </c>
      <c r="F134" s="657" t="s">
        <v>2166</v>
      </c>
      <c r="G134" s="657">
        <v>31</v>
      </c>
      <c r="H134" s="653">
        <v>0.7</v>
      </c>
      <c r="I134" s="653">
        <v>0.02</v>
      </c>
      <c r="J134" s="653">
        <v>0</v>
      </c>
      <c r="K134" s="651"/>
      <c r="L134" s="654"/>
      <c r="M134" s="654"/>
      <c r="N134" s="655"/>
      <c r="O134" s="651"/>
      <c r="P134" s="653"/>
    </row>
    <row r="135" spans="1:16" ht="38.25" customHeight="1">
      <c r="A135" s="652">
        <v>131</v>
      </c>
      <c r="B135" s="657" t="s">
        <v>1010</v>
      </c>
      <c r="C135" s="657" t="s">
        <v>1011</v>
      </c>
      <c r="D135" s="651">
        <v>1999</v>
      </c>
      <c r="E135" s="651">
        <v>10</v>
      </c>
      <c r="F135" s="657" t="s">
        <v>2166</v>
      </c>
      <c r="G135" s="657">
        <v>16</v>
      </c>
      <c r="H135" s="653">
        <v>0.5</v>
      </c>
      <c r="I135" s="653">
        <v>0.01</v>
      </c>
      <c r="J135" s="653">
        <v>0</v>
      </c>
      <c r="K135" s="651"/>
      <c r="L135" s="654"/>
      <c r="M135" s="654"/>
      <c r="N135" s="655"/>
      <c r="O135" s="651"/>
      <c r="P135" s="653"/>
    </row>
    <row r="136" spans="1:16" ht="39" customHeight="1">
      <c r="A136" s="652">
        <v>132</v>
      </c>
      <c r="B136" s="657" t="s">
        <v>1012</v>
      </c>
      <c r="C136" s="657" t="s">
        <v>1007</v>
      </c>
      <c r="D136" s="651">
        <v>1982</v>
      </c>
      <c r="E136" s="651">
        <v>10</v>
      </c>
      <c r="F136" s="657" t="s">
        <v>2167</v>
      </c>
      <c r="G136" s="657">
        <v>32</v>
      </c>
      <c r="H136" s="653">
        <v>0.7</v>
      </c>
      <c r="I136" s="653">
        <v>0.02</v>
      </c>
      <c r="J136" s="653">
        <v>0</v>
      </c>
      <c r="K136" s="651"/>
      <c r="L136" s="654"/>
      <c r="M136" s="654"/>
      <c r="N136" s="655"/>
      <c r="O136" s="651"/>
      <c r="P136" s="653"/>
    </row>
    <row r="137" spans="1:16" ht="57" customHeight="1">
      <c r="A137" s="652">
        <v>133</v>
      </c>
      <c r="B137" s="657" t="s">
        <v>1013</v>
      </c>
      <c r="C137" s="657" t="s">
        <v>1007</v>
      </c>
      <c r="D137" s="651">
        <v>1992</v>
      </c>
      <c r="E137" s="651">
        <v>10</v>
      </c>
      <c r="F137" s="657" t="s">
        <v>2167</v>
      </c>
      <c r="G137" s="657">
        <v>31</v>
      </c>
      <c r="H137" s="653">
        <v>0.7</v>
      </c>
      <c r="I137" s="653">
        <v>0.03</v>
      </c>
      <c r="J137" s="653">
        <v>0</v>
      </c>
      <c r="K137" s="651"/>
      <c r="L137" s="654"/>
      <c r="M137" s="654"/>
      <c r="N137" s="655"/>
      <c r="O137" s="651"/>
      <c r="P137" s="653"/>
    </row>
    <row r="138" spans="1:16" ht="37.5" customHeight="1">
      <c r="A138" s="652">
        <v>134</v>
      </c>
      <c r="B138" s="657" t="s">
        <v>1015</v>
      </c>
      <c r="C138" s="657" t="s">
        <v>1007</v>
      </c>
      <c r="D138" s="651">
        <v>1976</v>
      </c>
      <c r="E138" s="651">
        <v>10</v>
      </c>
      <c r="F138" s="657" t="s">
        <v>2167</v>
      </c>
      <c r="G138" s="657" t="s">
        <v>1016</v>
      </c>
      <c r="H138" s="653">
        <v>0.7</v>
      </c>
      <c r="I138" s="653">
        <v>0.02</v>
      </c>
      <c r="J138" s="653">
        <v>0</v>
      </c>
      <c r="K138" s="651"/>
      <c r="L138" s="654"/>
      <c r="M138" s="654"/>
      <c r="N138" s="655"/>
      <c r="O138" s="651"/>
      <c r="P138" s="653"/>
    </row>
    <row r="139" spans="1:16" ht="34.5" customHeight="1">
      <c r="A139" s="652">
        <v>135</v>
      </c>
      <c r="B139" s="657" t="s">
        <v>1017</v>
      </c>
      <c r="C139" s="657" t="s">
        <v>1007</v>
      </c>
      <c r="D139" s="651">
        <v>1991</v>
      </c>
      <c r="E139" s="651">
        <v>10</v>
      </c>
      <c r="F139" s="657" t="s">
        <v>2167</v>
      </c>
      <c r="G139" s="657">
        <v>27.5</v>
      </c>
      <c r="H139" s="653">
        <v>0.7</v>
      </c>
      <c r="I139" s="653">
        <v>0.03</v>
      </c>
      <c r="J139" s="653">
        <v>0</v>
      </c>
      <c r="K139" s="651"/>
      <c r="L139" s="654"/>
      <c r="M139" s="654"/>
      <c r="N139" s="655"/>
      <c r="O139" s="651"/>
      <c r="P139" s="653"/>
    </row>
    <row r="140" spans="1:16" ht="38.25" customHeight="1">
      <c r="A140" s="652">
        <v>136</v>
      </c>
      <c r="B140" s="657" t="s">
        <v>1018</v>
      </c>
      <c r="C140" s="657" t="s">
        <v>1007</v>
      </c>
      <c r="D140" s="651">
        <v>1993</v>
      </c>
      <c r="E140" s="651">
        <v>10</v>
      </c>
      <c r="F140" s="657" t="s">
        <v>2167</v>
      </c>
      <c r="G140" s="657" t="s">
        <v>1019</v>
      </c>
      <c r="H140" s="653">
        <v>0.7</v>
      </c>
      <c r="I140" s="653">
        <v>0.03</v>
      </c>
      <c r="J140" s="653">
        <v>0</v>
      </c>
      <c r="K140" s="651"/>
      <c r="L140" s="654"/>
      <c r="M140" s="654"/>
      <c r="N140" s="655"/>
      <c r="O140" s="651"/>
      <c r="P140" s="653"/>
    </row>
    <row r="141" spans="1:16" ht="35.25" customHeight="1">
      <c r="A141" s="652">
        <v>137</v>
      </c>
      <c r="B141" s="657" t="s">
        <v>1020</v>
      </c>
      <c r="C141" s="657" t="s">
        <v>1007</v>
      </c>
      <c r="D141" s="651">
        <v>1987</v>
      </c>
      <c r="E141" s="651">
        <v>10</v>
      </c>
      <c r="F141" s="657" t="s">
        <v>2167</v>
      </c>
      <c r="G141" s="657">
        <v>29</v>
      </c>
      <c r="H141" s="653">
        <v>0.7</v>
      </c>
      <c r="I141" s="653">
        <v>20</v>
      </c>
      <c r="J141" s="653">
        <v>0</v>
      </c>
      <c r="K141" s="651"/>
      <c r="L141" s="654"/>
      <c r="M141" s="654"/>
      <c r="N141" s="655"/>
      <c r="O141" s="651"/>
      <c r="P141" s="653"/>
    </row>
    <row r="142" spans="1:16" ht="56.25">
      <c r="A142" s="652">
        <v>138</v>
      </c>
      <c r="B142" s="657" t="s">
        <v>1021</v>
      </c>
      <c r="C142" s="657" t="s">
        <v>1011</v>
      </c>
      <c r="D142" s="651">
        <v>2008</v>
      </c>
      <c r="E142" s="651">
        <v>10</v>
      </c>
      <c r="F142" s="657" t="s">
        <v>2167</v>
      </c>
      <c r="G142" s="657" t="s">
        <v>1022</v>
      </c>
      <c r="H142" s="653">
        <v>0.5</v>
      </c>
      <c r="I142" s="653">
        <v>10</v>
      </c>
      <c r="J142" s="653">
        <v>33.84</v>
      </c>
      <c r="K142" s="651"/>
      <c r="L142" s="654"/>
      <c r="M142" s="654"/>
      <c r="N142" s="655"/>
      <c r="O142" s="651"/>
      <c r="P142" s="653"/>
    </row>
    <row r="143" spans="1:16" ht="38.25" customHeight="1">
      <c r="A143" s="652">
        <v>139</v>
      </c>
      <c r="B143" s="657" t="s">
        <v>1023</v>
      </c>
      <c r="C143" s="657" t="s">
        <v>1011</v>
      </c>
      <c r="D143" s="651">
        <v>1988</v>
      </c>
      <c r="E143" s="651">
        <v>10</v>
      </c>
      <c r="F143" s="657" t="s">
        <v>2167</v>
      </c>
      <c r="G143" s="657">
        <v>17</v>
      </c>
      <c r="H143" s="653">
        <v>0.5</v>
      </c>
      <c r="I143" s="653">
        <v>10</v>
      </c>
      <c r="J143" s="653">
        <v>0</v>
      </c>
      <c r="K143" s="651"/>
      <c r="L143" s="1411" t="s">
        <v>1344</v>
      </c>
      <c r="M143" s="1411" t="s">
        <v>2411</v>
      </c>
      <c r="N143" s="1411">
        <v>281.89</v>
      </c>
      <c r="O143" s="1411">
        <v>17</v>
      </c>
      <c r="P143" s="653"/>
    </row>
    <row r="144" spans="1:16" ht="56.25">
      <c r="A144" s="652">
        <v>140</v>
      </c>
      <c r="B144" s="657" t="s">
        <v>1024</v>
      </c>
      <c r="C144" s="657" t="s">
        <v>1661</v>
      </c>
      <c r="D144" s="651">
        <v>1974</v>
      </c>
      <c r="E144" s="651">
        <v>10</v>
      </c>
      <c r="F144" s="657" t="s">
        <v>2168</v>
      </c>
      <c r="G144" s="657" t="s">
        <v>1025</v>
      </c>
      <c r="H144" s="653">
        <v>0.7</v>
      </c>
      <c r="I144" s="653">
        <v>20</v>
      </c>
      <c r="J144" s="653">
        <v>0</v>
      </c>
      <c r="K144" s="651"/>
      <c r="L144" s="654"/>
      <c r="M144" s="654"/>
      <c r="N144" s="655"/>
      <c r="O144" s="651"/>
      <c r="P144" s="653"/>
    </row>
    <row r="145" spans="1:16" ht="56.25">
      <c r="A145" s="652">
        <v>141</v>
      </c>
      <c r="B145" s="657" t="s">
        <v>1026</v>
      </c>
      <c r="C145" s="657" t="s">
        <v>1662</v>
      </c>
      <c r="D145" s="651">
        <v>1990</v>
      </c>
      <c r="E145" s="651">
        <v>10</v>
      </c>
      <c r="F145" s="657" t="s">
        <v>2168</v>
      </c>
      <c r="G145" s="657" t="s">
        <v>1027</v>
      </c>
      <c r="H145" s="653">
        <v>0.7</v>
      </c>
      <c r="I145" s="653">
        <v>30</v>
      </c>
      <c r="J145" s="653">
        <v>0</v>
      </c>
      <c r="K145" s="651"/>
      <c r="L145" s="654"/>
      <c r="M145" s="654"/>
      <c r="N145" s="655"/>
      <c r="O145" s="651"/>
      <c r="P145" s="653"/>
    </row>
    <row r="146" spans="1:16" ht="56.25">
      <c r="A146" s="652">
        <v>142</v>
      </c>
      <c r="B146" s="664" t="s">
        <v>1028</v>
      </c>
      <c r="C146" s="657" t="s">
        <v>1663</v>
      </c>
      <c r="D146" s="651">
        <v>1986</v>
      </c>
      <c r="E146" s="651">
        <v>10</v>
      </c>
      <c r="F146" s="657" t="s">
        <v>2168</v>
      </c>
      <c r="G146" s="657" t="s">
        <v>1029</v>
      </c>
      <c r="H146" s="653">
        <v>0.7</v>
      </c>
      <c r="I146" s="653">
        <v>25</v>
      </c>
      <c r="J146" s="653">
        <v>0</v>
      </c>
      <c r="K146" s="651"/>
      <c r="L146" s="654"/>
      <c r="M146" s="654"/>
      <c r="N146" s="655"/>
      <c r="O146" s="651"/>
      <c r="P146" s="653"/>
    </row>
    <row r="147" spans="1:16" ht="51.75" customHeight="1">
      <c r="A147" s="652">
        <v>143</v>
      </c>
      <c r="B147" s="664" t="s">
        <v>1030</v>
      </c>
      <c r="C147" s="657" t="s">
        <v>1664</v>
      </c>
      <c r="D147" s="651">
        <v>1981</v>
      </c>
      <c r="E147" s="651">
        <v>10</v>
      </c>
      <c r="F147" s="657" t="s">
        <v>2168</v>
      </c>
      <c r="G147" s="657" t="s">
        <v>1029</v>
      </c>
      <c r="H147" s="653">
        <v>0.7</v>
      </c>
      <c r="I147" s="653">
        <v>20</v>
      </c>
      <c r="J147" s="653">
        <v>0</v>
      </c>
      <c r="K147" s="651"/>
      <c r="L147" s="654"/>
      <c r="M147" s="654"/>
      <c r="N147" s="655"/>
      <c r="O147" s="651"/>
      <c r="P147" s="653"/>
    </row>
    <row r="148" spans="1:16" ht="36.75" customHeight="1">
      <c r="A148" s="652">
        <v>144</v>
      </c>
      <c r="B148" s="664" t="s">
        <v>1031</v>
      </c>
      <c r="C148" s="657" t="s">
        <v>1032</v>
      </c>
      <c r="D148" s="651">
        <v>1989</v>
      </c>
      <c r="E148" s="651">
        <v>10</v>
      </c>
      <c r="F148" s="657" t="s">
        <v>2168</v>
      </c>
      <c r="G148" s="657" t="s">
        <v>1033</v>
      </c>
      <c r="H148" s="653">
        <v>0.7</v>
      </c>
      <c r="I148" s="653">
        <v>20</v>
      </c>
      <c r="J148" s="653">
        <v>0</v>
      </c>
      <c r="K148" s="651"/>
      <c r="L148" s="654"/>
      <c r="M148" s="654"/>
      <c r="N148" s="655"/>
      <c r="O148" s="651"/>
      <c r="P148" s="653"/>
    </row>
    <row r="149" spans="1:16" ht="36.75" customHeight="1">
      <c r="A149" s="652">
        <v>145</v>
      </c>
      <c r="B149" s="664" t="s">
        <v>1034</v>
      </c>
      <c r="C149" s="657" t="s">
        <v>859</v>
      </c>
      <c r="D149" s="651">
        <v>1981</v>
      </c>
      <c r="E149" s="651">
        <v>10</v>
      </c>
      <c r="F149" s="657" t="s">
        <v>2168</v>
      </c>
      <c r="G149" s="657" t="s">
        <v>1035</v>
      </c>
      <c r="H149" s="653">
        <v>0.7</v>
      </c>
      <c r="I149" s="653">
        <v>2.5</v>
      </c>
      <c r="J149" s="653">
        <v>0</v>
      </c>
      <c r="K149" s="651"/>
      <c r="L149" s="654"/>
      <c r="M149" s="654"/>
      <c r="N149" s="655"/>
      <c r="O149" s="651"/>
      <c r="P149" s="653"/>
    </row>
    <row r="150" spans="1:16" ht="52.5" customHeight="1">
      <c r="A150" s="652">
        <v>146</v>
      </c>
      <c r="B150" s="664" t="s">
        <v>1036</v>
      </c>
      <c r="C150" s="657" t="s">
        <v>1037</v>
      </c>
      <c r="D150" s="651">
        <v>1986</v>
      </c>
      <c r="E150" s="651">
        <v>10</v>
      </c>
      <c r="F150" s="657" t="s">
        <v>2168</v>
      </c>
      <c r="G150" s="657" t="s">
        <v>1038</v>
      </c>
      <c r="H150" s="653">
        <v>0.7</v>
      </c>
      <c r="I150" s="653">
        <v>25</v>
      </c>
      <c r="J150" s="653">
        <v>0</v>
      </c>
      <c r="K150" s="651"/>
      <c r="L150" s="654"/>
      <c r="M150" s="654"/>
      <c r="N150" s="655"/>
      <c r="O150" s="651"/>
      <c r="P150" s="653"/>
    </row>
    <row r="151" spans="1:16" ht="44.25" customHeight="1">
      <c r="A151" s="652">
        <v>147</v>
      </c>
      <c r="B151" s="664" t="s">
        <v>1039</v>
      </c>
      <c r="C151" s="657" t="s">
        <v>1007</v>
      </c>
      <c r="D151" s="651">
        <v>1977</v>
      </c>
      <c r="E151" s="651">
        <v>10</v>
      </c>
      <c r="F151" s="657" t="s">
        <v>2168</v>
      </c>
      <c r="G151" s="657">
        <v>31</v>
      </c>
      <c r="H151" s="653">
        <v>0.7</v>
      </c>
      <c r="I151" s="653">
        <v>20</v>
      </c>
      <c r="J151" s="653">
        <v>0</v>
      </c>
      <c r="K151" s="651"/>
      <c r="L151" s="654"/>
      <c r="M151" s="654"/>
      <c r="N151" s="655"/>
      <c r="O151" s="651"/>
      <c r="P151" s="653"/>
    </row>
    <row r="152" spans="1:16" ht="39.75" customHeight="1">
      <c r="A152" s="652">
        <v>148</v>
      </c>
      <c r="B152" s="664" t="s">
        <v>1040</v>
      </c>
      <c r="C152" s="657" t="s">
        <v>1007</v>
      </c>
      <c r="D152" s="651">
        <v>1986</v>
      </c>
      <c r="E152" s="651">
        <v>10</v>
      </c>
      <c r="F152" s="657" t="s">
        <v>2168</v>
      </c>
      <c r="G152" s="657">
        <v>31</v>
      </c>
      <c r="H152" s="653">
        <v>0.7</v>
      </c>
      <c r="I152" s="653">
        <v>20</v>
      </c>
      <c r="J152" s="653">
        <v>0</v>
      </c>
      <c r="K152" s="651"/>
      <c r="L152" s="654"/>
      <c r="M152" s="654"/>
      <c r="N152" s="655"/>
      <c r="O152" s="651"/>
      <c r="P152" s="653"/>
    </row>
    <row r="153" spans="1:16" ht="39" customHeight="1">
      <c r="A153" s="652">
        <v>149</v>
      </c>
      <c r="B153" s="664" t="s">
        <v>1041</v>
      </c>
      <c r="C153" s="657" t="s">
        <v>1007</v>
      </c>
      <c r="D153" s="651">
        <v>1983</v>
      </c>
      <c r="E153" s="651">
        <v>10</v>
      </c>
      <c r="F153" s="657" t="s">
        <v>2168</v>
      </c>
      <c r="G153" s="657" t="s">
        <v>1042</v>
      </c>
      <c r="H153" s="653"/>
      <c r="I153" s="653"/>
      <c r="J153" s="653">
        <v>0</v>
      </c>
      <c r="K153" s="651"/>
      <c r="L153" s="654"/>
      <c r="M153" s="654"/>
      <c r="N153" s="655"/>
      <c r="O153" s="651"/>
      <c r="P153" s="653"/>
    </row>
    <row r="154" spans="1:16" ht="56.25">
      <c r="A154" s="652">
        <v>150</v>
      </c>
      <c r="B154" s="664" t="s">
        <v>1043</v>
      </c>
      <c r="C154" s="657" t="s">
        <v>1044</v>
      </c>
      <c r="D154" s="651">
        <v>2008</v>
      </c>
      <c r="E154" s="651">
        <v>10</v>
      </c>
      <c r="F154" s="657" t="s">
        <v>2168</v>
      </c>
      <c r="G154" s="657" t="s">
        <v>1045</v>
      </c>
      <c r="H154" s="653">
        <v>0.5</v>
      </c>
      <c r="I154" s="653">
        <v>10</v>
      </c>
      <c r="J154" s="653">
        <v>28.48</v>
      </c>
      <c r="K154" s="651"/>
      <c r="L154" s="654"/>
      <c r="M154" s="654"/>
      <c r="N154" s="655"/>
      <c r="O154" s="651"/>
      <c r="P154" s="653"/>
    </row>
    <row r="155" spans="1:16" ht="49.5">
      <c r="A155" s="652">
        <v>151</v>
      </c>
      <c r="B155" s="664" t="s">
        <v>1046</v>
      </c>
      <c r="C155" s="657" t="s">
        <v>1047</v>
      </c>
      <c r="D155" s="651">
        <v>2003</v>
      </c>
      <c r="E155" s="651">
        <v>10</v>
      </c>
      <c r="F155" s="657" t="s">
        <v>2169</v>
      </c>
      <c r="G155" s="657">
        <v>27.5</v>
      </c>
      <c r="H155" s="653">
        <v>0.7</v>
      </c>
      <c r="I155" s="653">
        <v>30</v>
      </c>
      <c r="J155" s="653">
        <v>3.01</v>
      </c>
      <c r="K155" s="651"/>
      <c r="L155" s="654"/>
      <c r="M155" s="654"/>
      <c r="N155" s="655"/>
      <c r="O155" s="651"/>
      <c r="P155" s="653"/>
    </row>
    <row r="156" spans="1:16" ht="37.5">
      <c r="A156" s="652">
        <v>152</v>
      </c>
      <c r="B156" s="664" t="s">
        <v>1048</v>
      </c>
      <c r="C156" s="657" t="s">
        <v>1049</v>
      </c>
      <c r="D156" s="651">
        <v>1987</v>
      </c>
      <c r="E156" s="651">
        <v>10</v>
      </c>
      <c r="F156" s="657" t="s">
        <v>2169</v>
      </c>
      <c r="G156" s="657">
        <v>32</v>
      </c>
      <c r="H156" s="653">
        <v>0.7</v>
      </c>
      <c r="I156" s="653">
        <v>20</v>
      </c>
      <c r="J156" s="653">
        <v>0</v>
      </c>
      <c r="K156" s="651"/>
      <c r="L156" s="654"/>
      <c r="M156" s="654"/>
      <c r="N156" s="655"/>
      <c r="O156" s="651"/>
      <c r="P156" s="653"/>
    </row>
    <row r="157" spans="1:16" ht="39.75" customHeight="1">
      <c r="A157" s="652">
        <v>153</v>
      </c>
      <c r="B157" s="664" t="s">
        <v>1050</v>
      </c>
      <c r="C157" s="657" t="s">
        <v>1007</v>
      </c>
      <c r="D157" s="651">
        <v>1986</v>
      </c>
      <c r="E157" s="651">
        <v>10</v>
      </c>
      <c r="F157" s="657" t="s">
        <v>2170</v>
      </c>
      <c r="G157" s="657" t="s">
        <v>1042</v>
      </c>
      <c r="H157" s="653"/>
      <c r="I157" s="653"/>
      <c r="J157" s="653">
        <v>0</v>
      </c>
      <c r="K157" s="651"/>
      <c r="L157" s="654"/>
      <c r="M157" s="654"/>
      <c r="N157" s="655"/>
      <c r="O157" s="651"/>
      <c r="P157" s="653"/>
    </row>
    <row r="158" spans="1:16" ht="37.5">
      <c r="A158" s="652">
        <v>154</v>
      </c>
      <c r="B158" s="664" t="s">
        <v>1052</v>
      </c>
      <c r="C158" s="657" t="s">
        <v>1053</v>
      </c>
      <c r="D158" s="651">
        <v>1987</v>
      </c>
      <c r="E158" s="651">
        <v>10</v>
      </c>
      <c r="F158" s="657" t="s">
        <v>2171</v>
      </c>
      <c r="G158" s="657" t="s">
        <v>1054</v>
      </c>
      <c r="H158" s="653">
        <v>0.7</v>
      </c>
      <c r="I158" s="653">
        <v>30</v>
      </c>
      <c r="J158" s="653">
        <v>0</v>
      </c>
      <c r="K158" s="651"/>
      <c r="L158" s="654"/>
      <c r="M158" s="654"/>
      <c r="N158" s="655"/>
      <c r="O158" s="651"/>
      <c r="P158" s="653"/>
    </row>
    <row r="159" spans="1:16" ht="42" customHeight="1">
      <c r="A159" s="652">
        <v>155</v>
      </c>
      <c r="B159" s="664" t="s">
        <v>1055</v>
      </c>
      <c r="C159" s="657" t="s">
        <v>859</v>
      </c>
      <c r="D159" s="651">
        <v>1990</v>
      </c>
      <c r="E159" s="651">
        <v>10</v>
      </c>
      <c r="F159" s="657" t="s">
        <v>1051</v>
      </c>
      <c r="G159" s="657" t="s">
        <v>1056</v>
      </c>
      <c r="H159" s="653"/>
      <c r="I159" s="653"/>
      <c r="J159" s="653">
        <v>0</v>
      </c>
      <c r="K159" s="651"/>
      <c r="L159" s="654"/>
      <c r="M159" s="654"/>
      <c r="N159" s="655"/>
      <c r="O159" s="651"/>
      <c r="P159" s="653"/>
    </row>
    <row r="160" spans="1:16" ht="49.5">
      <c r="A160" s="652">
        <v>156</v>
      </c>
      <c r="B160" s="664" t="s">
        <v>1057</v>
      </c>
      <c r="C160" s="657" t="s">
        <v>1011</v>
      </c>
      <c r="D160" s="651">
        <v>2003</v>
      </c>
      <c r="E160" s="651">
        <v>10</v>
      </c>
      <c r="F160" s="657" t="s">
        <v>2172</v>
      </c>
      <c r="G160" s="657" t="s">
        <v>1058</v>
      </c>
      <c r="H160" s="653">
        <v>0.6</v>
      </c>
      <c r="I160" s="653">
        <v>20</v>
      </c>
      <c r="J160" s="653">
        <v>6.26</v>
      </c>
      <c r="K160" s="651"/>
      <c r="L160" s="654"/>
      <c r="M160" s="654"/>
      <c r="N160" s="655"/>
      <c r="O160" s="651"/>
      <c r="P160" s="653"/>
    </row>
    <row r="161" spans="1:16" ht="52.5" customHeight="1">
      <c r="A161" s="652">
        <v>157</v>
      </c>
      <c r="B161" s="664" t="s">
        <v>1059</v>
      </c>
      <c r="C161" s="657" t="s">
        <v>1060</v>
      </c>
      <c r="D161" s="651">
        <v>1994</v>
      </c>
      <c r="E161" s="651">
        <v>10</v>
      </c>
      <c r="F161" s="657" t="s">
        <v>2170</v>
      </c>
      <c r="G161" s="657">
        <v>16</v>
      </c>
      <c r="H161" s="653">
        <v>0.5</v>
      </c>
      <c r="I161" s="653">
        <v>25</v>
      </c>
      <c r="J161" s="653">
        <v>0</v>
      </c>
      <c r="K161" s="651"/>
      <c r="L161" s="654"/>
      <c r="M161" s="654"/>
      <c r="N161" s="655"/>
      <c r="O161" s="651"/>
      <c r="P161" s="653"/>
    </row>
    <row r="162" spans="1:16" ht="49.5">
      <c r="A162" s="652">
        <v>158</v>
      </c>
      <c r="B162" s="664" t="s">
        <v>1061</v>
      </c>
      <c r="C162" s="657" t="s">
        <v>1062</v>
      </c>
      <c r="D162" s="651">
        <v>1989</v>
      </c>
      <c r="E162" s="651">
        <v>10</v>
      </c>
      <c r="F162" s="657" t="s">
        <v>2171</v>
      </c>
      <c r="G162" s="657" t="s">
        <v>1063</v>
      </c>
      <c r="H162" s="653">
        <v>0.9</v>
      </c>
      <c r="I162" s="653">
        <v>20</v>
      </c>
      <c r="J162" s="653">
        <v>6.07</v>
      </c>
      <c r="K162" s="651"/>
      <c r="L162" s="654"/>
      <c r="M162" s="654"/>
      <c r="N162" s="655"/>
      <c r="O162" s="651"/>
      <c r="P162" s="653"/>
    </row>
    <row r="163" spans="1:16" ht="54" customHeight="1">
      <c r="A163" s="652">
        <v>159</v>
      </c>
      <c r="B163" s="664" t="s">
        <v>1064</v>
      </c>
      <c r="C163" s="657" t="s">
        <v>1062</v>
      </c>
      <c r="D163" s="651">
        <v>1992</v>
      </c>
      <c r="E163" s="651">
        <v>10</v>
      </c>
      <c r="F163" s="657" t="s">
        <v>2171</v>
      </c>
      <c r="G163" s="657" t="s">
        <v>1065</v>
      </c>
      <c r="H163" s="653">
        <v>0.9</v>
      </c>
      <c r="I163" s="653">
        <v>30</v>
      </c>
      <c r="J163" s="653">
        <v>0</v>
      </c>
      <c r="K163" s="651"/>
      <c r="L163" s="654"/>
      <c r="M163" s="654"/>
      <c r="N163" s="655"/>
      <c r="O163" s="651"/>
      <c r="P163" s="653"/>
    </row>
    <row r="164" spans="1:16" ht="38.25" customHeight="1">
      <c r="A164" s="652">
        <v>160</v>
      </c>
      <c r="B164" s="664" t="s">
        <v>1066</v>
      </c>
      <c r="C164" s="657" t="s">
        <v>1032</v>
      </c>
      <c r="D164" s="651">
        <v>1991</v>
      </c>
      <c r="E164" s="651">
        <v>10</v>
      </c>
      <c r="F164" s="657" t="s">
        <v>2171</v>
      </c>
      <c r="G164" s="657" t="s">
        <v>1067</v>
      </c>
      <c r="H164" s="653">
        <v>0.9</v>
      </c>
      <c r="I164" s="653">
        <v>30</v>
      </c>
      <c r="J164" s="653">
        <v>0</v>
      </c>
      <c r="K164" s="651"/>
      <c r="L164" s="654"/>
      <c r="M164" s="654"/>
      <c r="N164" s="655"/>
      <c r="O164" s="651"/>
      <c r="P164" s="653"/>
    </row>
    <row r="165" spans="1:16" ht="49.5">
      <c r="A165" s="652">
        <v>161</v>
      </c>
      <c r="B165" s="664" t="s">
        <v>1068</v>
      </c>
      <c r="C165" s="657" t="s">
        <v>1069</v>
      </c>
      <c r="D165" s="651">
        <v>1983</v>
      </c>
      <c r="E165" s="651">
        <v>10</v>
      </c>
      <c r="F165" s="657" t="s">
        <v>2171</v>
      </c>
      <c r="G165" s="657" t="s">
        <v>1070</v>
      </c>
      <c r="H165" s="653">
        <v>0.7</v>
      </c>
      <c r="I165" s="653">
        <v>20</v>
      </c>
      <c r="J165" s="653">
        <v>0</v>
      </c>
      <c r="K165" s="651"/>
      <c r="L165" s="654"/>
      <c r="M165" s="654"/>
      <c r="N165" s="655"/>
      <c r="O165" s="651"/>
      <c r="P165" s="653"/>
    </row>
    <row r="166" spans="1:16" ht="47.25" customHeight="1">
      <c r="A166" s="652">
        <v>162</v>
      </c>
      <c r="B166" s="664" t="s">
        <v>1071</v>
      </c>
      <c r="C166" s="657" t="s">
        <v>1666</v>
      </c>
      <c r="D166" s="651">
        <v>1999</v>
      </c>
      <c r="E166" s="651">
        <v>10</v>
      </c>
      <c r="F166" s="657" t="s">
        <v>2170</v>
      </c>
      <c r="G166" s="657" t="s">
        <v>1072</v>
      </c>
      <c r="H166" s="653">
        <v>0.7</v>
      </c>
      <c r="I166" s="653">
        <v>20</v>
      </c>
      <c r="J166" s="653">
        <v>0</v>
      </c>
      <c r="K166" s="651"/>
      <c r="L166" s="654"/>
      <c r="M166" s="654"/>
      <c r="N166" s="655"/>
      <c r="O166" s="651"/>
      <c r="P166" s="653"/>
    </row>
    <row r="167" spans="1:16" ht="45" customHeight="1">
      <c r="A167" s="652">
        <v>163</v>
      </c>
      <c r="B167" s="664" t="s">
        <v>1073</v>
      </c>
      <c r="C167" s="657" t="s">
        <v>1074</v>
      </c>
      <c r="D167" s="651">
        <v>1983</v>
      </c>
      <c r="E167" s="651">
        <v>10</v>
      </c>
      <c r="F167" s="657" t="s">
        <v>2173</v>
      </c>
      <c r="G167" s="657" t="s">
        <v>1075</v>
      </c>
      <c r="H167" s="653">
        <v>0.9</v>
      </c>
      <c r="I167" s="653">
        <v>30</v>
      </c>
      <c r="J167" s="653">
        <v>0</v>
      </c>
      <c r="K167" s="651"/>
      <c r="L167" s="654"/>
      <c r="M167" s="654"/>
      <c r="N167" s="655"/>
      <c r="O167" s="651"/>
      <c r="P167" s="653"/>
    </row>
    <row r="168" spans="1:16" ht="45" customHeight="1">
      <c r="A168" s="652">
        <v>164</v>
      </c>
      <c r="B168" s="664" t="s">
        <v>1076</v>
      </c>
      <c r="C168" s="657" t="s">
        <v>1077</v>
      </c>
      <c r="D168" s="651">
        <v>1993</v>
      </c>
      <c r="E168" s="651">
        <v>10</v>
      </c>
      <c r="F168" s="657" t="s">
        <v>2173</v>
      </c>
      <c r="G168" s="657" t="s">
        <v>1078</v>
      </c>
      <c r="H168" s="653">
        <v>0.9</v>
      </c>
      <c r="I168" s="653">
        <v>30</v>
      </c>
      <c r="J168" s="653">
        <v>0</v>
      </c>
      <c r="K168" s="651"/>
      <c r="L168" s="654"/>
      <c r="M168" s="654"/>
      <c r="N168" s="655"/>
      <c r="O168" s="651"/>
      <c r="P168" s="653"/>
    </row>
    <row r="169" spans="1:16" ht="56.25">
      <c r="A169" s="652">
        <v>165</v>
      </c>
      <c r="B169" s="664" t="s">
        <v>1079</v>
      </c>
      <c r="C169" s="657" t="s">
        <v>1665</v>
      </c>
      <c r="D169" s="651">
        <v>2008</v>
      </c>
      <c r="E169" s="651">
        <v>10</v>
      </c>
      <c r="F169" s="657" t="s">
        <v>2168</v>
      </c>
      <c r="G169" s="657" t="s">
        <v>1067</v>
      </c>
      <c r="H169" s="653">
        <v>1.2</v>
      </c>
      <c r="I169" s="653">
        <v>150</v>
      </c>
      <c r="J169" s="653">
        <v>265.19</v>
      </c>
      <c r="K169" s="651"/>
      <c r="L169" s="654"/>
      <c r="M169" s="654"/>
      <c r="N169" s="655"/>
      <c r="O169" s="651"/>
      <c r="P169" s="653"/>
    </row>
    <row r="170" spans="1:16" ht="37.5">
      <c r="A170" s="652">
        <v>166</v>
      </c>
      <c r="B170" s="664" t="s">
        <v>1080</v>
      </c>
      <c r="C170" s="657" t="s">
        <v>1081</v>
      </c>
      <c r="D170" s="651">
        <v>1991</v>
      </c>
      <c r="E170" s="651">
        <v>10</v>
      </c>
      <c r="F170" s="657" t="s">
        <v>2173</v>
      </c>
      <c r="G170" s="657" t="s">
        <v>1082</v>
      </c>
      <c r="H170" s="653">
        <v>0.7</v>
      </c>
      <c r="I170" s="653">
        <v>20</v>
      </c>
      <c r="J170" s="653">
        <v>0</v>
      </c>
      <c r="K170" s="651"/>
      <c r="L170" s="654"/>
      <c r="M170" s="654"/>
      <c r="N170" s="655"/>
      <c r="O170" s="651"/>
      <c r="P170" s="653"/>
    </row>
    <row r="171" spans="1:16" ht="42" customHeight="1">
      <c r="A171" s="652">
        <v>167</v>
      </c>
      <c r="B171" s="664" t="s">
        <v>1083</v>
      </c>
      <c r="C171" s="657" t="s">
        <v>1060</v>
      </c>
      <c r="D171" s="651">
        <v>1992</v>
      </c>
      <c r="E171" s="651">
        <v>10</v>
      </c>
      <c r="F171" s="657" t="s">
        <v>2174</v>
      </c>
      <c r="G171" s="657">
        <v>9.1</v>
      </c>
      <c r="H171" s="653">
        <v>0.5</v>
      </c>
      <c r="I171" s="653">
        <v>15</v>
      </c>
      <c r="J171" s="653">
        <v>0</v>
      </c>
      <c r="K171" s="651"/>
      <c r="L171" s="654"/>
      <c r="M171" s="654"/>
      <c r="N171" s="655"/>
      <c r="O171" s="651"/>
      <c r="P171" s="653"/>
    </row>
    <row r="172" spans="1:16" ht="49.5">
      <c r="A172" s="652">
        <v>168</v>
      </c>
      <c r="B172" s="664" t="s">
        <v>1084</v>
      </c>
      <c r="C172" s="657" t="s">
        <v>1060</v>
      </c>
      <c r="D172" s="651">
        <v>2005</v>
      </c>
      <c r="E172" s="651">
        <v>10</v>
      </c>
      <c r="F172" s="657" t="s">
        <v>2175</v>
      </c>
      <c r="G172" s="657" t="s">
        <v>1085</v>
      </c>
      <c r="H172" s="653">
        <v>0.5</v>
      </c>
      <c r="I172" s="653">
        <v>10</v>
      </c>
      <c r="J172" s="653">
        <v>2.5</v>
      </c>
      <c r="K172" s="651"/>
      <c r="L172" s="654"/>
      <c r="M172" s="654"/>
      <c r="N172" s="655"/>
      <c r="O172" s="651"/>
      <c r="P172" s="653"/>
    </row>
    <row r="173" spans="1:16" ht="49.5">
      <c r="A173" s="652">
        <v>169</v>
      </c>
      <c r="B173" s="664" t="s">
        <v>1086</v>
      </c>
      <c r="C173" s="657" t="s">
        <v>1060</v>
      </c>
      <c r="D173" s="651">
        <v>1999</v>
      </c>
      <c r="E173" s="651">
        <v>10</v>
      </c>
      <c r="F173" s="657" t="s">
        <v>2176</v>
      </c>
      <c r="G173" s="657" t="s">
        <v>1085</v>
      </c>
      <c r="H173" s="653">
        <v>0.5</v>
      </c>
      <c r="I173" s="653">
        <v>10</v>
      </c>
      <c r="J173" s="653">
        <v>2.7</v>
      </c>
      <c r="K173" s="651"/>
      <c r="L173" s="654"/>
      <c r="M173" s="654"/>
      <c r="N173" s="655"/>
      <c r="O173" s="651"/>
      <c r="P173" s="653"/>
    </row>
    <row r="174" spans="1:16" ht="56.25">
      <c r="A174" s="652">
        <v>170</v>
      </c>
      <c r="B174" s="664" t="s">
        <v>1087</v>
      </c>
      <c r="C174" s="657" t="s">
        <v>1060</v>
      </c>
      <c r="D174" s="651">
        <v>1992</v>
      </c>
      <c r="E174" s="651">
        <v>10</v>
      </c>
      <c r="F174" s="657" t="s">
        <v>2177</v>
      </c>
      <c r="G174" s="657">
        <v>13</v>
      </c>
      <c r="H174" s="653">
        <v>0.5</v>
      </c>
      <c r="I174" s="653">
        <v>10</v>
      </c>
      <c r="J174" s="653">
        <v>0</v>
      </c>
      <c r="K174" s="651"/>
      <c r="L174" s="654"/>
      <c r="M174" s="654"/>
      <c r="N174" s="655"/>
      <c r="O174" s="651"/>
      <c r="P174" s="653"/>
    </row>
    <row r="175" spans="1:16" ht="49.5">
      <c r="A175" s="652">
        <v>171</v>
      </c>
      <c r="B175" s="664" t="s">
        <v>1088</v>
      </c>
      <c r="C175" s="657" t="s">
        <v>1089</v>
      </c>
      <c r="D175" s="651">
        <v>2010</v>
      </c>
      <c r="E175" s="651">
        <v>10</v>
      </c>
      <c r="F175" s="657" t="s">
        <v>2168</v>
      </c>
      <c r="G175" s="657" t="s">
        <v>1090</v>
      </c>
      <c r="H175" s="653">
        <v>0.7</v>
      </c>
      <c r="I175" s="653">
        <v>10</v>
      </c>
      <c r="J175" s="653">
        <v>456.28</v>
      </c>
      <c r="K175" s="651"/>
      <c r="L175" s="654"/>
      <c r="M175" s="654"/>
      <c r="N175" s="655"/>
      <c r="O175" s="651"/>
      <c r="P175" s="653"/>
    </row>
    <row r="176" spans="1:16" ht="36.75" customHeight="1">
      <c r="A176" s="652">
        <v>172</v>
      </c>
      <c r="B176" s="664" t="s">
        <v>1091</v>
      </c>
      <c r="C176" s="657" t="s">
        <v>1092</v>
      </c>
      <c r="D176" s="651">
        <v>1987</v>
      </c>
      <c r="E176" s="651">
        <v>10</v>
      </c>
      <c r="F176" s="657" t="s">
        <v>2168</v>
      </c>
      <c r="G176" s="657" t="s">
        <v>1093</v>
      </c>
      <c r="H176" s="653">
        <v>0.5</v>
      </c>
      <c r="I176" s="653">
        <v>15</v>
      </c>
      <c r="J176" s="653">
        <v>0</v>
      </c>
      <c r="K176" s="651"/>
      <c r="L176" s="654"/>
      <c r="M176" s="654"/>
      <c r="N176" s="655"/>
      <c r="O176" s="651"/>
      <c r="P176" s="653"/>
    </row>
    <row r="177" spans="1:16" ht="78" customHeight="1">
      <c r="A177" s="652">
        <v>173</v>
      </c>
      <c r="B177" s="664" t="s">
        <v>1094</v>
      </c>
      <c r="C177" s="657" t="s">
        <v>1095</v>
      </c>
      <c r="D177" s="651">
        <v>1991</v>
      </c>
      <c r="E177" s="651">
        <v>10</v>
      </c>
      <c r="F177" s="657" t="s">
        <v>2178</v>
      </c>
      <c r="G177" s="657" t="s">
        <v>1096</v>
      </c>
      <c r="H177" s="653">
        <v>0.5</v>
      </c>
      <c r="I177" s="653">
        <v>25</v>
      </c>
      <c r="J177" s="653">
        <v>0</v>
      </c>
      <c r="K177" s="651"/>
      <c r="L177" s="654"/>
      <c r="M177" s="654"/>
      <c r="N177" s="655"/>
      <c r="O177" s="651"/>
      <c r="P177" s="653"/>
    </row>
    <row r="178" spans="1:16" ht="66">
      <c r="A178" s="652">
        <v>174</v>
      </c>
      <c r="B178" s="664" t="s">
        <v>1097</v>
      </c>
      <c r="C178" s="657" t="s">
        <v>1098</v>
      </c>
      <c r="D178" s="651">
        <v>2010</v>
      </c>
      <c r="E178" s="651">
        <v>10</v>
      </c>
      <c r="F178" s="657" t="s">
        <v>2171</v>
      </c>
      <c r="G178" s="657" t="s">
        <v>1099</v>
      </c>
      <c r="H178" s="653">
        <v>0.3</v>
      </c>
      <c r="I178" s="653">
        <v>10</v>
      </c>
      <c r="J178" s="653">
        <v>102.85</v>
      </c>
      <c r="K178" s="651"/>
      <c r="L178" s="654"/>
      <c r="M178" s="654"/>
      <c r="N178" s="655"/>
      <c r="O178" s="651"/>
      <c r="P178" s="653"/>
    </row>
    <row r="179" spans="1:16" ht="37.5">
      <c r="A179" s="652">
        <v>175</v>
      </c>
      <c r="B179" s="664" t="s">
        <v>1100</v>
      </c>
      <c r="C179" s="657" t="s">
        <v>1098</v>
      </c>
      <c r="D179" s="651">
        <v>1992</v>
      </c>
      <c r="E179" s="651">
        <v>10</v>
      </c>
      <c r="F179" s="657" t="s">
        <v>2171</v>
      </c>
      <c r="G179" s="657" t="s">
        <v>1099</v>
      </c>
      <c r="H179" s="653">
        <v>0.3</v>
      </c>
      <c r="I179" s="653">
        <v>10</v>
      </c>
      <c r="J179" s="653">
        <v>0</v>
      </c>
      <c r="K179" s="651"/>
      <c r="L179" s="654"/>
      <c r="M179" s="654"/>
      <c r="N179" s="655"/>
      <c r="O179" s="651"/>
      <c r="P179" s="653"/>
    </row>
    <row r="180" spans="1:16" ht="37.5">
      <c r="A180" s="652">
        <v>176</v>
      </c>
      <c r="B180" s="664" t="s">
        <v>1101</v>
      </c>
      <c r="C180" s="657" t="s">
        <v>1102</v>
      </c>
      <c r="D180" s="651">
        <v>1983</v>
      </c>
      <c r="E180" s="651">
        <v>10</v>
      </c>
      <c r="F180" s="657" t="s">
        <v>2168</v>
      </c>
      <c r="G180" s="657" t="s">
        <v>1099</v>
      </c>
      <c r="H180" s="653">
        <v>0.3</v>
      </c>
      <c r="I180" s="653">
        <v>5</v>
      </c>
      <c r="J180" s="653">
        <v>0</v>
      </c>
      <c r="K180" s="651"/>
      <c r="L180" s="654"/>
      <c r="M180" s="654"/>
      <c r="N180" s="655"/>
      <c r="O180" s="651"/>
      <c r="P180" s="653"/>
    </row>
    <row r="181" spans="1:16" ht="37.5">
      <c r="A181" s="652">
        <v>177</v>
      </c>
      <c r="B181" s="664" t="s">
        <v>1103</v>
      </c>
      <c r="C181" s="657" t="s">
        <v>1007</v>
      </c>
      <c r="D181" s="651">
        <v>1992</v>
      </c>
      <c r="E181" s="651">
        <v>10</v>
      </c>
      <c r="F181" s="657" t="s">
        <v>2167</v>
      </c>
      <c r="G181" s="657" t="s">
        <v>1042</v>
      </c>
      <c r="H181" s="653"/>
      <c r="I181" s="653"/>
      <c r="J181" s="653">
        <v>0</v>
      </c>
      <c r="K181" s="651"/>
      <c r="L181" s="654"/>
      <c r="M181" s="654"/>
      <c r="N181" s="655"/>
      <c r="O181" s="651"/>
      <c r="P181" s="653"/>
    </row>
    <row r="182" spans="1:16" ht="49.5">
      <c r="A182" s="652">
        <v>178</v>
      </c>
      <c r="B182" s="664" t="s">
        <v>1104</v>
      </c>
      <c r="C182" s="657" t="s">
        <v>1069</v>
      </c>
      <c r="D182" s="651">
        <v>1985</v>
      </c>
      <c r="E182" s="651">
        <v>10</v>
      </c>
      <c r="F182" s="657" t="s">
        <v>2171</v>
      </c>
      <c r="G182" s="657" t="s">
        <v>1042</v>
      </c>
      <c r="H182" s="653"/>
      <c r="I182" s="653"/>
      <c r="J182" s="653">
        <v>0</v>
      </c>
      <c r="K182" s="651"/>
      <c r="L182" s="654"/>
      <c r="M182" s="654"/>
      <c r="N182" s="655"/>
      <c r="O182" s="651"/>
      <c r="P182" s="653"/>
    </row>
    <row r="183" spans="1:16" ht="45" customHeight="1">
      <c r="A183" s="652">
        <v>179</v>
      </c>
      <c r="B183" s="664" t="s">
        <v>1105</v>
      </c>
      <c r="C183" s="657" t="s">
        <v>849</v>
      </c>
      <c r="D183" s="651">
        <v>1993</v>
      </c>
      <c r="E183" s="651">
        <v>10</v>
      </c>
      <c r="F183" s="657" t="s">
        <v>2178</v>
      </c>
      <c r="G183" s="657" t="s">
        <v>1042</v>
      </c>
      <c r="H183" s="653"/>
      <c r="I183" s="653"/>
      <c r="J183" s="653">
        <v>0</v>
      </c>
      <c r="K183" s="651"/>
      <c r="L183" s="654"/>
      <c r="M183" s="654"/>
      <c r="N183" s="655"/>
      <c r="O183" s="651"/>
      <c r="P183" s="653"/>
    </row>
    <row r="184" spans="1:16" ht="49.5">
      <c r="A184" s="652">
        <v>180</v>
      </c>
      <c r="B184" s="664" t="s">
        <v>1106</v>
      </c>
      <c r="C184" s="657" t="s">
        <v>1107</v>
      </c>
      <c r="D184" s="651">
        <v>1988</v>
      </c>
      <c r="E184" s="651">
        <v>10</v>
      </c>
      <c r="F184" s="657" t="s">
        <v>2178</v>
      </c>
      <c r="G184" s="657" t="s">
        <v>1042</v>
      </c>
      <c r="H184" s="653"/>
      <c r="I184" s="653"/>
      <c r="J184" s="653">
        <v>0</v>
      </c>
      <c r="K184" s="651"/>
      <c r="L184" s="654"/>
      <c r="M184" s="654"/>
      <c r="N184" s="655"/>
      <c r="O184" s="651"/>
      <c r="P184" s="653"/>
    </row>
    <row r="185" spans="1:16" ht="37.5">
      <c r="A185" s="652">
        <v>181</v>
      </c>
      <c r="B185" s="664" t="s">
        <v>1108</v>
      </c>
      <c r="C185" s="657" t="s">
        <v>1007</v>
      </c>
      <c r="D185" s="651">
        <v>1977</v>
      </c>
      <c r="E185" s="651">
        <v>10</v>
      </c>
      <c r="F185" s="657" t="s">
        <v>2178</v>
      </c>
      <c r="G185" s="657" t="s">
        <v>1042</v>
      </c>
      <c r="H185" s="653"/>
      <c r="I185" s="653"/>
      <c r="J185" s="653">
        <v>0</v>
      </c>
      <c r="K185" s="651"/>
      <c r="L185" s="654"/>
      <c r="M185" s="654"/>
      <c r="N185" s="655"/>
      <c r="O185" s="651"/>
      <c r="P185" s="653"/>
    </row>
    <row r="186" spans="1:16" ht="56.25">
      <c r="A186" s="652">
        <v>182</v>
      </c>
      <c r="B186" s="657" t="s">
        <v>1109</v>
      </c>
      <c r="C186" s="657" t="s">
        <v>1007</v>
      </c>
      <c r="D186" s="651">
        <v>2011</v>
      </c>
      <c r="E186" s="651">
        <v>10</v>
      </c>
      <c r="F186" s="657" t="s">
        <v>2168</v>
      </c>
      <c r="G186" s="657" t="s">
        <v>1110</v>
      </c>
      <c r="H186" s="653">
        <v>0.3</v>
      </c>
      <c r="I186" s="653">
        <v>5</v>
      </c>
      <c r="J186" s="653">
        <v>305.18</v>
      </c>
      <c r="K186" s="651"/>
      <c r="L186" s="654"/>
      <c r="M186" s="651"/>
      <c r="N186" s="653"/>
      <c r="O186" s="651"/>
      <c r="P186" s="653"/>
    </row>
    <row r="187" spans="1:16" ht="56.25">
      <c r="A187" s="652">
        <v>183</v>
      </c>
      <c r="B187" s="657" t="s">
        <v>1111</v>
      </c>
      <c r="C187" s="657" t="s">
        <v>1007</v>
      </c>
      <c r="D187" s="651">
        <v>2011</v>
      </c>
      <c r="E187" s="651">
        <v>10</v>
      </c>
      <c r="F187" s="657" t="s">
        <v>2168</v>
      </c>
      <c r="G187" s="657" t="s">
        <v>1110</v>
      </c>
      <c r="H187" s="653">
        <v>0.3</v>
      </c>
      <c r="I187" s="653">
        <v>5</v>
      </c>
      <c r="J187" s="653">
        <v>305.18</v>
      </c>
      <c r="K187" s="651"/>
      <c r="L187" s="654"/>
      <c r="M187" s="651"/>
      <c r="N187" s="656"/>
      <c r="O187" s="651"/>
      <c r="P187" s="653"/>
    </row>
    <row r="188" spans="1:16" ht="37.5">
      <c r="A188" s="652">
        <v>184</v>
      </c>
      <c r="B188" s="651" t="s">
        <v>1112</v>
      </c>
      <c r="C188" s="651" t="s">
        <v>853</v>
      </c>
      <c r="D188" s="651">
        <v>2004</v>
      </c>
      <c r="E188" s="651">
        <v>10</v>
      </c>
      <c r="F188" s="651" t="s">
        <v>1113</v>
      </c>
      <c r="G188" s="653">
        <v>9.6</v>
      </c>
      <c r="H188" s="653">
        <v>0.08</v>
      </c>
      <c r="I188" s="653">
        <v>0.3</v>
      </c>
      <c r="J188" s="653">
        <v>0</v>
      </c>
      <c r="K188" s="651"/>
      <c r="L188" s="654"/>
      <c r="M188" s="654"/>
      <c r="N188" s="651"/>
      <c r="O188" s="651"/>
      <c r="P188" s="653"/>
    </row>
    <row r="189" spans="1:16" ht="37.5">
      <c r="A189" s="652">
        <v>185</v>
      </c>
      <c r="B189" s="651" t="s">
        <v>1114</v>
      </c>
      <c r="C189" s="651" t="s">
        <v>853</v>
      </c>
      <c r="D189" s="651">
        <v>1994</v>
      </c>
      <c r="E189" s="651">
        <v>10</v>
      </c>
      <c r="F189" s="651" t="s">
        <v>1115</v>
      </c>
      <c r="G189" s="653">
        <v>16.8</v>
      </c>
      <c r="H189" s="653">
        <v>0.1</v>
      </c>
      <c r="I189" s="653">
        <v>1.2</v>
      </c>
      <c r="J189" s="653">
        <v>0</v>
      </c>
      <c r="K189" s="651"/>
      <c r="L189" s="654"/>
      <c r="M189" s="654"/>
      <c r="N189" s="655"/>
      <c r="O189" s="651"/>
      <c r="P189" s="653"/>
    </row>
    <row r="190" spans="1:16" ht="37.5">
      <c r="A190" s="652">
        <v>186</v>
      </c>
      <c r="B190" s="651" t="s">
        <v>852</v>
      </c>
      <c r="C190" s="651" t="s">
        <v>853</v>
      </c>
      <c r="D190" s="651">
        <v>1982</v>
      </c>
      <c r="E190" s="651">
        <v>10</v>
      </c>
      <c r="F190" s="651" t="s">
        <v>1116</v>
      </c>
      <c r="G190" s="653">
        <v>16.8</v>
      </c>
      <c r="H190" s="653">
        <v>0.19</v>
      </c>
      <c r="I190" s="653">
        <v>2.32</v>
      </c>
      <c r="J190" s="653">
        <v>0</v>
      </c>
      <c r="K190" s="651"/>
      <c r="L190" s="654"/>
      <c r="M190" s="651"/>
      <c r="N190" s="653"/>
      <c r="O190" s="651"/>
      <c r="P190" s="653"/>
    </row>
    <row r="191" spans="1:16" ht="37.5">
      <c r="A191" s="652">
        <v>187</v>
      </c>
      <c r="B191" s="651" t="s">
        <v>1117</v>
      </c>
      <c r="C191" s="651" t="s">
        <v>1118</v>
      </c>
      <c r="D191" s="651">
        <v>1993</v>
      </c>
      <c r="E191" s="651">
        <v>10</v>
      </c>
      <c r="F191" s="651" t="s">
        <v>1119</v>
      </c>
      <c r="G191" s="653">
        <v>18.9</v>
      </c>
      <c r="H191" s="653">
        <v>0.79</v>
      </c>
      <c r="I191" s="653">
        <v>9.52</v>
      </c>
      <c r="J191" s="653">
        <v>0</v>
      </c>
      <c r="K191" s="651"/>
      <c r="L191" s="654"/>
      <c r="M191" s="651"/>
      <c r="N191" s="656"/>
      <c r="O191" s="651"/>
      <c r="P191" s="653"/>
    </row>
    <row r="192" spans="1:16" ht="75">
      <c r="A192" s="652">
        <v>188</v>
      </c>
      <c r="B192" s="651" t="s">
        <v>1014</v>
      </c>
      <c r="C192" s="651" t="s">
        <v>1120</v>
      </c>
      <c r="D192" s="651">
        <v>2012</v>
      </c>
      <c r="E192" s="651">
        <v>10</v>
      </c>
      <c r="F192" s="651" t="s">
        <v>1121</v>
      </c>
      <c r="G192" s="653" t="s">
        <v>1122</v>
      </c>
      <c r="H192" s="653">
        <v>0</v>
      </c>
      <c r="I192" s="653">
        <v>0</v>
      </c>
      <c r="J192" s="653">
        <v>176.31</v>
      </c>
      <c r="K192" s="651"/>
      <c r="L192" s="654"/>
      <c r="M192" s="654"/>
      <c r="N192" s="655"/>
      <c r="O192" s="651"/>
      <c r="P192" s="653"/>
    </row>
    <row r="193" spans="1:16" ht="56.25">
      <c r="A193" s="652">
        <v>189</v>
      </c>
      <c r="B193" s="651" t="s">
        <v>855</v>
      </c>
      <c r="C193" s="651" t="s">
        <v>1123</v>
      </c>
      <c r="D193" s="651">
        <v>1999</v>
      </c>
      <c r="E193" s="651">
        <v>10</v>
      </c>
      <c r="F193" s="651" t="s">
        <v>1124</v>
      </c>
      <c r="G193" s="653">
        <v>17.5</v>
      </c>
      <c r="H193" s="653">
        <v>115.56</v>
      </c>
      <c r="I193" s="653">
        <v>1386.69</v>
      </c>
      <c r="J193" s="653">
        <v>0</v>
      </c>
      <c r="K193" s="651"/>
      <c r="L193" s="654"/>
      <c r="M193" s="651"/>
      <c r="N193" s="653"/>
      <c r="O193" s="651"/>
      <c r="P193" s="651"/>
    </row>
    <row r="194" spans="1:16" ht="37.5">
      <c r="A194" s="652">
        <v>190</v>
      </c>
      <c r="B194" s="651" t="s">
        <v>855</v>
      </c>
      <c r="C194" s="651" t="s">
        <v>1123</v>
      </c>
      <c r="D194" s="651">
        <v>1999</v>
      </c>
      <c r="E194" s="651">
        <v>10</v>
      </c>
      <c r="F194" s="651" t="s">
        <v>1125</v>
      </c>
      <c r="G194" s="653">
        <v>17.5</v>
      </c>
      <c r="H194" s="653">
        <v>0.37</v>
      </c>
      <c r="I194" s="653">
        <v>4.49</v>
      </c>
      <c r="J194" s="653">
        <v>0</v>
      </c>
      <c r="K194" s="651"/>
      <c r="L194" s="654"/>
      <c r="M194" s="651"/>
      <c r="N194" s="655"/>
      <c r="O194" s="651"/>
      <c r="P194" s="651"/>
    </row>
    <row r="195" spans="1:16" ht="37.5">
      <c r="A195" s="652">
        <v>191</v>
      </c>
      <c r="B195" s="651" t="s">
        <v>855</v>
      </c>
      <c r="C195" s="651" t="s">
        <v>1123</v>
      </c>
      <c r="D195" s="651">
        <v>1999</v>
      </c>
      <c r="E195" s="651">
        <v>10</v>
      </c>
      <c r="F195" s="651" t="s">
        <v>1126</v>
      </c>
      <c r="G195" s="653">
        <v>17.5</v>
      </c>
      <c r="H195" s="653">
        <v>0.05</v>
      </c>
      <c r="I195" s="653">
        <v>0.42</v>
      </c>
      <c r="J195" s="653">
        <v>0</v>
      </c>
      <c r="K195" s="651"/>
      <c r="L195" s="654"/>
      <c r="M195" s="651"/>
      <c r="N195" s="653"/>
      <c r="O195" s="651"/>
      <c r="P195" s="651"/>
    </row>
    <row r="196" spans="1:16" ht="56.25">
      <c r="A196" s="652">
        <v>192</v>
      </c>
      <c r="B196" s="651" t="s">
        <v>876</v>
      </c>
      <c r="C196" s="651" t="s">
        <v>1127</v>
      </c>
      <c r="D196" s="651">
        <v>1985</v>
      </c>
      <c r="E196" s="651">
        <v>10</v>
      </c>
      <c r="F196" s="651" t="s">
        <v>1128</v>
      </c>
      <c r="G196" s="653">
        <v>33</v>
      </c>
      <c r="H196" s="653">
        <v>0.03</v>
      </c>
      <c r="I196" s="653">
        <v>0.22</v>
      </c>
      <c r="J196" s="653">
        <v>0</v>
      </c>
      <c r="K196" s="651"/>
      <c r="L196" s="651"/>
      <c r="M196" s="651"/>
      <c r="N196" s="651"/>
      <c r="O196" s="651"/>
      <c r="P196" s="651"/>
    </row>
    <row r="197" spans="1:16" ht="56.25">
      <c r="A197" s="652">
        <v>193</v>
      </c>
      <c r="B197" s="651" t="s">
        <v>876</v>
      </c>
      <c r="C197" s="651" t="s">
        <v>1127</v>
      </c>
      <c r="D197" s="651">
        <v>1992</v>
      </c>
      <c r="E197" s="651">
        <v>10</v>
      </c>
      <c r="F197" s="651" t="s">
        <v>1124</v>
      </c>
      <c r="G197" s="653">
        <v>33</v>
      </c>
      <c r="H197" s="653">
        <v>44.8</v>
      </c>
      <c r="I197" s="653">
        <v>537.65</v>
      </c>
      <c r="J197" s="653">
        <v>0</v>
      </c>
      <c r="K197" s="651"/>
      <c r="L197" s="651"/>
      <c r="M197" s="651"/>
      <c r="N197" s="651"/>
      <c r="O197" s="651"/>
      <c r="P197" s="651"/>
    </row>
    <row r="198" spans="1:16" ht="75">
      <c r="A198" s="652">
        <v>194</v>
      </c>
      <c r="B198" s="651" t="s">
        <v>850</v>
      </c>
      <c r="C198" s="651" t="s">
        <v>1127</v>
      </c>
      <c r="D198" s="651">
        <v>1992</v>
      </c>
      <c r="E198" s="651">
        <v>10</v>
      </c>
      <c r="F198" s="651" t="s">
        <v>1129</v>
      </c>
      <c r="G198" s="653">
        <v>29.6</v>
      </c>
      <c r="H198" s="653">
        <v>0.22</v>
      </c>
      <c r="I198" s="653">
        <v>2.65</v>
      </c>
      <c r="J198" s="653">
        <v>0</v>
      </c>
      <c r="K198" s="651"/>
      <c r="L198" s="651"/>
      <c r="M198" s="651"/>
      <c r="N198" s="651"/>
      <c r="O198" s="651"/>
      <c r="P198" s="651"/>
    </row>
    <row r="199" spans="1:16" ht="37.5">
      <c r="A199" s="652">
        <v>195</v>
      </c>
      <c r="B199" s="651" t="s">
        <v>834</v>
      </c>
      <c r="C199" s="651" t="s">
        <v>1127</v>
      </c>
      <c r="D199" s="651">
        <v>1982</v>
      </c>
      <c r="E199" s="651">
        <v>10</v>
      </c>
      <c r="F199" s="651" t="s">
        <v>1130</v>
      </c>
      <c r="G199" s="653">
        <v>25</v>
      </c>
      <c r="H199" s="653">
        <v>0.1</v>
      </c>
      <c r="I199" s="653">
        <v>0.7</v>
      </c>
      <c r="J199" s="653">
        <v>0</v>
      </c>
      <c r="K199" s="651"/>
      <c r="L199" s="654"/>
      <c r="M199" s="651"/>
      <c r="N199" s="653"/>
      <c r="O199" s="651"/>
      <c r="P199" s="651"/>
    </row>
    <row r="200" spans="1:16" ht="37.5">
      <c r="A200" s="652">
        <v>196</v>
      </c>
      <c r="B200" s="651" t="s">
        <v>834</v>
      </c>
      <c r="C200" s="651" t="s">
        <v>1127</v>
      </c>
      <c r="D200" s="651">
        <v>1990</v>
      </c>
      <c r="E200" s="651">
        <v>10</v>
      </c>
      <c r="F200" s="651" t="s">
        <v>1125</v>
      </c>
      <c r="G200" s="653">
        <v>25</v>
      </c>
      <c r="H200" s="653">
        <v>0.27</v>
      </c>
      <c r="I200" s="653">
        <v>3.25</v>
      </c>
      <c r="J200" s="653">
        <v>0</v>
      </c>
      <c r="K200" s="651"/>
      <c r="L200" s="654"/>
      <c r="M200" s="651"/>
      <c r="N200" s="653"/>
      <c r="O200" s="651"/>
      <c r="P200" s="651"/>
    </row>
    <row r="201" spans="1:16" ht="75">
      <c r="A201" s="652">
        <v>197</v>
      </c>
      <c r="B201" s="651" t="s">
        <v>1131</v>
      </c>
      <c r="C201" s="651" t="s">
        <v>841</v>
      </c>
      <c r="D201" s="651">
        <v>1986</v>
      </c>
      <c r="E201" s="651">
        <v>10</v>
      </c>
      <c r="F201" s="651" t="s">
        <v>1129</v>
      </c>
      <c r="G201" s="653">
        <v>38</v>
      </c>
      <c r="H201" s="653">
        <v>0.17</v>
      </c>
      <c r="I201" s="653">
        <v>2</v>
      </c>
      <c r="J201" s="653">
        <v>0</v>
      </c>
      <c r="K201" s="651"/>
      <c r="L201" s="654"/>
      <c r="M201" s="651"/>
      <c r="N201" s="653"/>
      <c r="O201" s="651"/>
      <c r="P201" s="651"/>
    </row>
    <row r="202" spans="1:16" ht="75">
      <c r="A202" s="652">
        <v>198</v>
      </c>
      <c r="B202" s="651" t="s">
        <v>924</v>
      </c>
      <c r="C202" s="651" t="s">
        <v>841</v>
      </c>
      <c r="D202" s="651">
        <v>2007</v>
      </c>
      <c r="E202" s="651">
        <v>10</v>
      </c>
      <c r="F202" s="651" t="s">
        <v>1129</v>
      </c>
      <c r="G202" s="653" t="s">
        <v>1132</v>
      </c>
      <c r="H202" s="653">
        <v>0.3</v>
      </c>
      <c r="I202" s="653">
        <v>2.84</v>
      </c>
      <c r="J202" s="653">
        <v>100.09</v>
      </c>
      <c r="K202" s="651"/>
      <c r="L202" s="654"/>
      <c r="M202" s="651"/>
      <c r="N202" s="653"/>
      <c r="O202" s="651"/>
      <c r="P202" s="651"/>
    </row>
    <row r="203" spans="1:16" ht="75">
      <c r="A203" s="652">
        <v>199</v>
      </c>
      <c r="B203" s="651" t="s">
        <v>1131</v>
      </c>
      <c r="C203" s="651" t="s">
        <v>931</v>
      </c>
      <c r="D203" s="651">
        <v>1993</v>
      </c>
      <c r="E203" s="651">
        <v>10</v>
      </c>
      <c r="F203" s="651" t="s">
        <v>1129</v>
      </c>
      <c r="G203" s="653">
        <v>40.8</v>
      </c>
      <c r="H203" s="653">
        <v>0</v>
      </c>
      <c r="I203" s="653">
        <v>0</v>
      </c>
      <c r="J203" s="653">
        <v>0</v>
      </c>
      <c r="K203" s="651"/>
      <c r="L203" s="654"/>
      <c r="M203" s="651"/>
      <c r="N203" s="653"/>
      <c r="O203" s="651"/>
      <c r="P203" s="651"/>
    </row>
    <row r="204" spans="1:16" ht="75">
      <c r="A204" s="652">
        <v>200</v>
      </c>
      <c r="B204" s="651" t="s">
        <v>1133</v>
      </c>
      <c r="C204" s="651" t="s">
        <v>849</v>
      </c>
      <c r="D204" s="651">
        <v>1990</v>
      </c>
      <c r="E204" s="651">
        <v>10</v>
      </c>
      <c r="F204" s="651" t="s">
        <v>1129</v>
      </c>
      <c r="G204" s="653" t="s">
        <v>1134</v>
      </c>
      <c r="H204" s="653">
        <v>8.52</v>
      </c>
      <c r="I204" s="653">
        <v>102.2</v>
      </c>
      <c r="J204" s="653">
        <v>0</v>
      </c>
      <c r="K204" s="651"/>
      <c r="L204" s="654"/>
      <c r="M204" s="651"/>
      <c r="N204" s="653"/>
      <c r="O204" s="651"/>
      <c r="P204" s="651"/>
    </row>
    <row r="205" spans="1:16" ht="75">
      <c r="A205" s="652">
        <v>201</v>
      </c>
      <c r="B205" s="651" t="s">
        <v>1135</v>
      </c>
      <c r="C205" s="651" t="s">
        <v>849</v>
      </c>
      <c r="D205" s="651">
        <v>1992</v>
      </c>
      <c r="E205" s="651">
        <v>10</v>
      </c>
      <c r="F205" s="651" t="s">
        <v>1129</v>
      </c>
      <c r="G205" s="653" t="s">
        <v>1134</v>
      </c>
      <c r="H205" s="653">
        <v>1466.53</v>
      </c>
      <c r="I205" s="653">
        <v>17598.04</v>
      </c>
      <c r="J205" s="653">
        <v>0</v>
      </c>
      <c r="K205" s="651"/>
      <c r="L205" s="654"/>
      <c r="M205" s="651"/>
      <c r="N205" s="653"/>
      <c r="O205" s="651"/>
      <c r="P205" s="651"/>
    </row>
    <row r="206" spans="1:16" ht="75">
      <c r="A206" s="652">
        <v>202</v>
      </c>
      <c r="B206" s="651" t="s">
        <v>935</v>
      </c>
      <c r="C206" s="651" t="s">
        <v>849</v>
      </c>
      <c r="D206" s="651">
        <v>1992</v>
      </c>
      <c r="E206" s="651">
        <v>10</v>
      </c>
      <c r="F206" s="651" t="s">
        <v>1129</v>
      </c>
      <c r="G206" s="653" t="s">
        <v>1136</v>
      </c>
      <c r="H206" s="653">
        <v>113.38</v>
      </c>
      <c r="I206" s="653">
        <v>1360.58</v>
      </c>
      <c r="J206" s="653">
        <v>0</v>
      </c>
      <c r="K206" s="651"/>
      <c r="L206" s="654"/>
      <c r="M206" s="651"/>
      <c r="N206" s="653"/>
      <c r="O206" s="651"/>
      <c r="P206" s="651"/>
    </row>
    <row r="207" spans="1:16" ht="56.25">
      <c r="A207" s="652">
        <v>203</v>
      </c>
      <c r="B207" s="651" t="s">
        <v>940</v>
      </c>
      <c r="C207" s="651" t="s">
        <v>849</v>
      </c>
      <c r="D207" s="651">
        <v>1984</v>
      </c>
      <c r="E207" s="651">
        <v>10</v>
      </c>
      <c r="F207" s="651" t="s">
        <v>1124</v>
      </c>
      <c r="G207" s="653" t="s">
        <v>1137</v>
      </c>
      <c r="H207" s="653">
        <v>45.33</v>
      </c>
      <c r="I207" s="653">
        <v>544</v>
      </c>
      <c r="J207" s="653">
        <v>0</v>
      </c>
      <c r="K207" s="651"/>
      <c r="L207" s="654"/>
      <c r="M207" s="651"/>
      <c r="N207" s="653"/>
      <c r="O207" s="651"/>
      <c r="P207" s="651"/>
    </row>
    <row r="208" spans="1:16" ht="37.5">
      <c r="A208" s="652">
        <v>204</v>
      </c>
      <c r="B208" s="651" t="s">
        <v>980</v>
      </c>
      <c r="C208" s="651" t="s">
        <v>849</v>
      </c>
      <c r="D208" s="651">
        <v>1974</v>
      </c>
      <c r="E208" s="651">
        <v>10</v>
      </c>
      <c r="F208" s="651" t="s">
        <v>1125</v>
      </c>
      <c r="G208" s="653" t="s">
        <v>1138</v>
      </c>
      <c r="H208" s="653">
        <v>46.07</v>
      </c>
      <c r="I208" s="653">
        <v>552.89</v>
      </c>
      <c r="J208" s="653">
        <v>0</v>
      </c>
      <c r="K208" s="651"/>
      <c r="L208" s="654"/>
      <c r="M208" s="651"/>
      <c r="N208" s="653"/>
      <c r="O208" s="651"/>
      <c r="P208" s="651"/>
    </row>
    <row r="209" spans="1:16" ht="37.5">
      <c r="A209" s="652">
        <v>205</v>
      </c>
      <c r="B209" s="651" t="s">
        <v>1139</v>
      </c>
      <c r="C209" s="651" t="s">
        <v>1140</v>
      </c>
      <c r="D209" s="651">
        <v>1988</v>
      </c>
      <c r="E209" s="651">
        <v>10</v>
      </c>
      <c r="F209" s="651" t="s">
        <v>1125</v>
      </c>
      <c r="G209" s="653"/>
      <c r="H209" s="653">
        <v>0</v>
      </c>
      <c r="I209" s="653">
        <v>0</v>
      </c>
      <c r="J209" s="653">
        <v>0</v>
      </c>
      <c r="K209" s="651"/>
      <c r="L209" s="654"/>
      <c r="M209" s="651"/>
      <c r="N209" s="653"/>
      <c r="O209" s="651"/>
      <c r="P209" s="651"/>
    </row>
    <row r="210" spans="1:16" ht="75">
      <c r="A210" s="652">
        <v>206</v>
      </c>
      <c r="B210" s="651" t="s">
        <v>1139</v>
      </c>
      <c r="C210" s="651" t="s">
        <v>1140</v>
      </c>
      <c r="D210" s="651">
        <v>1988</v>
      </c>
      <c r="E210" s="651">
        <v>10</v>
      </c>
      <c r="F210" s="651" t="s">
        <v>1129</v>
      </c>
      <c r="G210" s="653"/>
      <c r="H210" s="653">
        <v>0</v>
      </c>
      <c r="I210" s="653">
        <v>0</v>
      </c>
      <c r="J210" s="653">
        <v>0</v>
      </c>
      <c r="K210" s="651"/>
      <c r="L210" s="654"/>
      <c r="M210" s="651"/>
      <c r="N210" s="653"/>
      <c r="O210" s="651"/>
      <c r="P210" s="651"/>
    </row>
    <row r="211" spans="1:16" ht="75">
      <c r="A211" s="652">
        <v>207</v>
      </c>
      <c r="B211" s="651" t="s">
        <v>1139</v>
      </c>
      <c r="C211" s="651" t="s">
        <v>1140</v>
      </c>
      <c r="D211" s="651">
        <v>1988</v>
      </c>
      <c r="E211" s="651">
        <v>10</v>
      </c>
      <c r="F211" s="651" t="s">
        <v>1129</v>
      </c>
      <c r="G211" s="653"/>
      <c r="H211" s="653">
        <v>0</v>
      </c>
      <c r="I211" s="653">
        <v>0</v>
      </c>
      <c r="J211" s="653">
        <v>0</v>
      </c>
      <c r="K211" s="651"/>
      <c r="L211" s="654"/>
      <c r="M211" s="651"/>
      <c r="N211" s="653"/>
      <c r="O211" s="651"/>
      <c r="P211" s="651"/>
    </row>
    <row r="212" spans="1:16" ht="56.25">
      <c r="A212" s="652">
        <v>208</v>
      </c>
      <c r="B212" s="651" t="s">
        <v>1141</v>
      </c>
      <c r="C212" s="651" t="s">
        <v>1140</v>
      </c>
      <c r="D212" s="651">
        <v>1988</v>
      </c>
      <c r="E212" s="651">
        <v>10</v>
      </c>
      <c r="F212" s="651" t="s">
        <v>1124</v>
      </c>
      <c r="G212" s="653"/>
      <c r="H212" s="653">
        <v>0</v>
      </c>
      <c r="I212" s="653">
        <v>0</v>
      </c>
      <c r="J212" s="653">
        <v>0</v>
      </c>
      <c r="K212" s="651"/>
      <c r="L212" s="654"/>
      <c r="M212" s="651"/>
      <c r="N212" s="653"/>
      <c r="O212" s="651"/>
      <c r="P212" s="651"/>
    </row>
    <row r="213" spans="1:16" ht="75">
      <c r="A213" s="652">
        <v>209</v>
      </c>
      <c r="B213" s="651" t="s">
        <v>1142</v>
      </c>
      <c r="C213" s="651" t="s">
        <v>1140</v>
      </c>
      <c r="D213" s="651">
        <v>1986</v>
      </c>
      <c r="E213" s="651">
        <v>10</v>
      </c>
      <c r="F213" s="651" t="s">
        <v>1129</v>
      </c>
      <c r="G213" s="653"/>
      <c r="H213" s="653">
        <v>0</v>
      </c>
      <c r="I213" s="653">
        <v>0</v>
      </c>
      <c r="J213" s="653">
        <v>0</v>
      </c>
      <c r="K213" s="651"/>
      <c r="L213" s="654"/>
      <c r="M213" s="651"/>
      <c r="N213" s="653"/>
      <c r="O213" s="651"/>
      <c r="P213" s="651"/>
    </row>
    <row r="214" spans="1:16" ht="75">
      <c r="A214" s="652">
        <v>210</v>
      </c>
      <c r="B214" s="651" t="s">
        <v>1143</v>
      </c>
      <c r="C214" s="651" t="s">
        <v>1140</v>
      </c>
      <c r="D214" s="651">
        <v>1986</v>
      </c>
      <c r="E214" s="651">
        <v>10</v>
      </c>
      <c r="F214" s="651" t="s">
        <v>1129</v>
      </c>
      <c r="G214" s="653"/>
      <c r="H214" s="653">
        <v>0</v>
      </c>
      <c r="I214" s="653">
        <v>0</v>
      </c>
      <c r="J214" s="653">
        <v>0</v>
      </c>
      <c r="K214" s="651"/>
      <c r="L214" s="654"/>
      <c r="M214" s="651"/>
      <c r="N214" s="653"/>
      <c r="O214" s="651"/>
      <c r="P214" s="651"/>
    </row>
    <row r="215" spans="1:16" ht="37.5">
      <c r="A215" s="652">
        <v>211</v>
      </c>
      <c r="B215" s="651" t="s">
        <v>1144</v>
      </c>
      <c r="C215" s="651" t="s">
        <v>1145</v>
      </c>
      <c r="D215" s="651">
        <v>1993</v>
      </c>
      <c r="E215" s="651">
        <v>10</v>
      </c>
      <c r="F215" s="651" t="s">
        <v>1146</v>
      </c>
      <c r="G215" s="651">
        <v>12</v>
      </c>
      <c r="H215" s="653">
        <v>0.05</v>
      </c>
      <c r="I215" s="653">
        <v>0.57</v>
      </c>
      <c r="J215" s="653">
        <v>0</v>
      </c>
      <c r="K215" s="651"/>
      <c r="L215" s="654"/>
      <c r="M215" s="654"/>
      <c r="N215" s="651"/>
      <c r="O215" s="651"/>
      <c r="P215" s="653"/>
    </row>
    <row r="216" spans="1:16" ht="37.5">
      <c r="A216" s="652">
        <v>212</v>
      </c>
      <c r="B216" s="651" t="s">
        <v>1147</v>
      </c>
      <c r="C216" s="651" t="s">
        <v>1145</v>
      </c>
      <c r="D216" s="651">
        <v>2002</v>
      </c>
      <c r="E216" s="651">
        <v>10</v>
      </c>
      <c r="F216" s="651" t="s">
        <v>1146</v>
      </c>
      <c r="G216" s="651">
        <v>9.1</v>
      </c>
      <c r="H216" s="653">
        <v>0.08</v>
      </c>
      <c r="I216" s="653">
        <v>0.95</v>
      </c>
      <c r="J216" s="653">
        <v>0</v>
      </c>
      <c r="K216" s="651"/>
      <c r="L216" s="654"/>
      <c r="M216" s="654"/>
      <c r="N216" s="655"/>
      <c r="O216" s="651"/>
      <c r="P216" s="653"/>
    </row>
    <row r="217" spans="1:16" ht="37.5">
      <c r="A217" s="652">
        <v>213</v>
      </c>
      <c r="B217" s="651" t="s">
        <v>1148</v>
      </c>
      <c r="C217" s="651" t="s">
        <v>1145</v>
      </c>
      <c r="D217" s="651">
        <v>2000</v>
      </c>
      <c r="E217" s="651">
        <v>10</v>
      </c>
      <c r="F217" s="651" t="s">
        <v>1146</v>
      </c>
      <c r="G217" s="651">
        <v>11.9</v>
      </c>
      <c r="H217" s="653">
        <v>0.22</v>
      </c>
      <c r="I217" s="653">
        <v>2.6</v>
      </c>
      <c r="J217" s="653">
        <v>0</v>
      </c>
      <c r="K217" s="651"/>
      <c r="L217" s="654"/>
      <c r="M217" s="651"/>
      <c r="N217" s="653"/>
      <c r="O217" s="651"/>
      <c r="P217" s="653"/>
    </row>
    <row r="218" spans="1:16" ht="37.5">
      <c r="A218" s="652">
        <v>214</v>
      </c>
      <c r="B218" s="651" t="s">
        <v>845</v>
      </c>
      <c r="C218" s="651" t="s">
        <v>1149</v>
      </c>
      <c r="D218" s="651">
        <v>1984</v>
      </c>
      <c r="E218" s="651">
        <v>10</v>
      </c>
      <c r="F218" s="651" t="s">
        <v>1146</v>
      </c>
      <c r="G218" s="651">
        <v>22</v>
      </c>
      <c r="H218" s="653">
        <v>0.09</v>
      </c>
      <c r="I218" s="653">
        <v>0.95</v>
      </c>
      <c r="J218" s="653">
        <v>0</v>
      </c>
      <c r="K218" s="651"/>
      <c r="L218" s="654"/>
      <c r="M218" s="651"/>
      <c r="N218" s="656"/>
      <c r="O218" s="651"/>
      <c r="P218" s="653"/>
    </row>
    <row r="219" spans="1:16" ht="37.5">
      <c r="A219" s="652">
        <v>215</v>
      </c>
      <c r="B219" s="651" t="s">
        <v>1150</v>
      </c>
      <c r="C219" s="651" t="s">
        <v>1149</v>
      </c>
      <c r="D219" s="651">
        <v>1998</v>
      </c>
      <c r="E219" s="651">
        <v>10</v>
      </c>
      <c r="F219" s="651" t="s">
        <v>1146</v>
      </c>
      <c r="G219" s="651">
        <v>16.4</v>
      </c>
      <c r="H219" s="653">
        <v>0.12</v>
      </c>
      <c r="I219" s="653">
        <v>1.28</v>
      </c>
      <c r="J219" s="653">
        <v>0</v>
      </c>
      <c r="K219" s="651"/>
      <c r="L219" s="654"/>
      <c r="M219" s="654"/>
      <c r="N219" s="655"/>
      <c r="O219" s="651"/>
      <c r="P219" s="653"/>
    </row>
    <row r="220" spans="1:16" ht="37.5">
      <c r="A220" s="652">
        <v>216</v>
      </c>
      <c r="B220" s="651" t="s">
        <v>1151</v>
      </c>
      <c r="C220" s="651" t="s">
        <v>1149</v>
      </c>
      <c r="D220" s="651">
        <v>2000</v>
      </c>
      <c r="E220" s="651">
        <v>10</v>
      </c>
      <c r="F220" s="651" t="s">
        <v>1146</v>
      </c>
      <c r="G220" s="651">
        <v>18.9</v>
      </c>
      <c r="H220" s="653">
        <v>0.22</v>
      </c>
      <c r="I220" s="653">
        <v>2.45</v>
      </c>
      <c r="J220" s="653">
        <v>0</v>
      </c>
      <c r="K220" s="651"/>
      <c r="L220" s="654"/>
      <c r="M220" s="651"/>
      <c r="N220" s="653"/>
      <c r="O220" s="651"/>
      <c r="P220" s="651"/>
    </row>
    <row r="221" spans="1:16" ht="37.5">
      <c r="A221" s="652">
        <v>217</v>
      </c>
      <c r="B221" s="651" t="s">
        <v>843</v>
      </c>
      <c r="C221" s="651" t="s">
        <v>1149</v>
      </c>
      <c r="D221" s="651">
        <v>2000</v>
      </c>
      <c r="E221" s="651">
        <v>10</v>
      </c>
      <c r="F221" s="651" t="s">
        <v>1146</v>
      </c>
      <c r="G221" s="651">
        <v>17</v>
      </c>
      <c r="H221" s="653">
        <v>0.82</v>
      </c>
      <c r="I221" s="653">
        <v>9.9</v>
      </c>
      <c r="J221" s="653">
        <v>0</v>
      </c>
      <c r="K221" s="651"/>
      <c r="L221" s="665"/>
      <c r="M221" s="651"/>
      <c r="N221" s="651"/>
      <c r="O221" s="651"/>
      <c r="P221" s="651"/>
    </row>
    <row r="222" spans="1:16" ht="37.5">
      <c r="A222" s="652">
        <v>218</v>
      </c>
      <c r="B222" s="651" t="s">
        <v>1152</v>
      </c>
      <c r="C222" s="651" t="s">
        <v>1153</v>
      </c>
      <c r="D222" s="651">
        <v>2008</v>
      </c>
      <c r="E222" s="651">
        <v>10</v>
      </c>
      <c r="F222" s="651" t="s">
        <v>1146</v>
      </c>
      <c r="G222" s="651" t="s">
        <v>1154</v>
      </c>
      <c r="H222" s="653">
        <v>0.7</v>
      </c>
      <c r="I222" s="653">
        <v>0.85</v>
      </c>
      <c r="J222" s="653">
        <v>153</v>
      </c>
      <c r="K222" s="651"/>
      <c r="L222" s="654"/>
      <c r="M222" s="651"/>
      <c r="N222" s="653"/>
      <c r="O222" s="651"/>
      <c r="P222" s="651"/>
    </row>
    <row r="223" spans="1:16" ht="37.5">
      <c r="A223" s="652">
        <v>219</v>
      </c>
      <c r="B223" s="651" t="s">
        <v>1155</v>
      </c>
      <c r="C223" s="651" t="s">
        <v>1153</v>
      </c>
      <c r="D223" s="651">
        <v>1993</v>
      </c>
      <c r="E223" s="651">
        <v>10</v>
      </c>
      <c r="F223" s="651" t="s">
        <v>1146</v>
      </c>
      <c r="G223" s="651" t="s">
        <v>1156</v>
      </c>
      <c r="H223" s="653">
        <v>0.14</v>
      </c>
      <c r="I223" s="653">
        <v>1.65</v>
      </c>
      <c r="J223" s="653">
        <v>0</v>
      </c>
      <c r="K223" s="651"/>
      <c r="L223" s="651"/>
      <c r="M223" s="651"/>
      <c r="N223" s="651"/>
      <c r="O223" s="651"/>
      <c r="P223" s="651"/>
    </row>
    <row r="224" spans="1:16" ht="37.5">
      <c r="A224" s="652">
        <v>220</v>
      </c>
      <c r="B224" s="651" t="s">
        <v>1157</v>
      </c>
      <c r="C224" s="651" t="s">
        <v>1149</v>
      </c>
      <c r="D224" s="651">
        <v>1995</v>
      </c>
      <c r="E224" s="651">
        <v>10</v>
      </c>
      <c r="F224" s="651" t="s">
        <v>1146</v>
      </c>
      <c r="G224" s="651">
        <v>19.6</v>
      </c>
      <c r="H224" s="653">
        <v>0.17</v>
      </c>
      <c r="I224" s="653">
        <v>1.82</v>
      </c>
      <c r="J224" s="653">
        <v>0</v>
      </c>
      <c r="K224" s="651"/>
      <c r="L224" s="651"/>
      <c r="M224" s="651"/>
      <c r="N224" s="651"/>
      <c r="O224" s="651"/>
      <c r="P224" s="651"/>
    </row>
    <row r="225" spans="1:16" ht="37.5">
      <c r="A225" s="652">
        <v>221</v>
      </c>
      <c r="B225" s="651" t="s">
        <v>1158</v>
      </c>
      <c r="C225" s="651" t="s">
        <v>912</v>
      </c>
      <c r="D225" s="651">
        <v>2000</v>
      </c>
      <c r="E225" s="651">
        <v>10</v>
      </c>
      <c r="F225" s="651" t="s">
        <v>1146</v>
      </c>
      <c r="G225" s="651" t="s">
        <v>1159</v>
      </c>
      <c r="H225" s="653">
        <v>0.54</v>
      </c>
      <c r="I225" s="653">
        <v>6.5</v>
      </c>
      <c r="J225" s="653">
        <v>0</v>
      </c>
      <c r="K225" s="651"/>
      <c r="L225" s="651"/>
      <c r="M225" s="651"/>
      <c r="N225" s="651"/>
      <c r="O225" s="651"/>
      <c r="P225" s="651"/>
    </row>
    <row r="226" spans="1:16" ht="37.5">
      <c r="A226" s="652">
        <v>222</v>
      </c>
      <c r="B226" s="651" t="s">
        <v>1160</v>
      </c>
      <c r="C226" s="651" t="s">
        <v>1161</v>
      </c>
      <c r="D226" s="651">
        <v>2007</v>
      </c>
      <c r="E226" s="651">
        <v>10</v>
      </c>
      <c r="F226" s="651" t="s">
        <v>1146</v>
      </c>
      <c r="G226" s="651" t="s">
        <v>1162</v>
      </c>
      <c r="H226" s="653">
        <v>0.03</v>
      </c>
      <c r="I226" s="653">
        <v>0.26</v>
      </c>
      <c r="J226" s="653">
        <v>86</v>
      </c>
      <c r="K226" s="651"/>
      <c r="L226" s="654"/>
      <c r="M226" s="651"/>
      <c r="N226" s="653"/>
      <c r="O226" s="651"/>
      <c r="P226" s="651"/>
    </row>
    <row r="227" spans="1:16" ht="37.5">
      <c r="A227" s="652">
        <v>223</v>
      </c>
      <c r="B227" s="651" t="s">
        <v>1163</v>
      </c>
      <c r="C227" s="651" t="s">
        <v>915</v>
      </c>
      <c r="D227" s="651">
        <v>1984</v>
      </c>
      <c r="E227" s="651">
        <v>10</v>
      </c>
      <c r="F227" s="651" t="s">
        <v>1146</v>
      </c>
      <c r="G227" s="651" t="s">
        <v>1099</v>
      </c>
      <c r="H227" s="653">
        <v>0</v>
      </c>
      <c r="I227" s="653">
        <v>0.2</v>
      </c>
      <c r="J227" s="653">
        <v>0</v>
      </c>
      <c r="K227" s="651"/>
      <c r="L227" s="651"/>
      <c r="M227" s="651"/>
      <c r="N227" s="651"/>
      <c r="O227" s="651"/>
      <c r="P227" s="651"/>
    </row>
    <row r="228" spans="1:16" ht="37.5">
      <c r="A228" s="652">
        <v>224</v>
      </c>
      <c r="B228" s="651" t="s">
        <v>1163</v>
      </c>
      <c r="C228" s="651" t="s">
        <v>915</v>
      </c>
      <c r="D228" s="651">
        <v>1985</v>
      </c>
      <c r="E228" s="651">
        <v>10</v>
      </c>
      <c r="F228" s="651" t="s">
        <v>1146</v>
      </c>
      <c r="G228" s="651" t="s">
        <v>1099</v>
      </c>
      <c r="H228" s="653" t="s">
        <v>1099</v>
      </c>
      <c r="I228" s="653" t="s">
        <v>1099</v>
      </c>
      <c r="J228" s="653">
        <v>0</v>
      </c>
      <c r="K228" s="651"/>
      <c r="L228" s="651"/>
      <c r="M228" s="651"/>
      <c r="N228" s="651"/>
      <c r="O228" s="651"/>
      <c r="P228" s="651"/>
    </row>
    <row r="229" spans="1:16" ht="37.5">
      <c r="A229" s="652">
        <v>225</v>
      </c>
      <c r="B229" s="651" t="s">
        <v>1163</v>
      </c>
      <c r="C229" s="651" t="s">
        <v>915</v>
      </c>
      <c r="D229" s="651">
        <v>1991</v>
      </c>
      <c r="E229" s="651">
        <v>10</v>
      </c>
      <c r="F229" s="651" t="s">
        <v>1146</v>
      </c>
      <c r="G229" s="651" t="s">
        <v>1099</v>
      </c>
      <c r="H229" s="653" t="s">
        <v>1099</v>
      </c>
      <c r="I229" s="653" t="s">
        <v>1099</v>
      </c>
      <c r="J229" s="653">
        <v>0</v>
      </c>
      <c r="K229" s="651"/>
      <c r="L229" s="651"/>
      <c r="M229" s="651"/>
      <c r="N229" s="651"/>
      <c r="O229" s="651"/>
      <c r="P229" s="651"/>
    </row>
    <row r="230" spans="1:16" ht="37.5">
      <c r="A230" s="652">
        <v>226</v>
      </c>
      <c r="B230" s="651" t="s">
        <v>1164</v>
      </c>
      <c r="C230" s="651" t="s">
        <v>1164</v>
      </c>
      <c r="D230" s="651">
        <v>2008</v>
      </c>
      <c r="E230" s="651">
        <v>10</v>
      </c>
      <c r="F230" s="651" t="s">
        <v>1146</v>
      </c>
      <c r="G230" s="651" t="s">
        <v>1099</v>
      </c>
      <c r="H230" s="653" t="s">
        <v>1099</v>
      </c>
      <c r="I230" s="653" t="s">
        <v>1099</v>
      </c>
      <c r="J230" s="653">
        <v>1</v>
      </c>
      <c r="K230" s="651"/>
      <c r="L230" s="651"/>
      <c r="M230" s="651"/>
      <c r="N230" s="651"/>
      <c r="O230" s="651"/>
      <c r="P230" s="651"/>
    </row>
    <row r="231" spans="1:16" ht="37.5">
      <c r="A231" s="652">
        <v>227</v>
      </c>
      <c r="B231" s="651" t="s">
        <v>1164</v>
      </c>
      <c r="C231" s="651" t="s">
        <v>1164</v>
      </c>
      <c r="D231" s="651">
        <v>2008</v>
      </c>
      <c r="E231" s="651">
        <v>10</v>
      </c>
      <c r="F231" s="651" t="s">
        <v>1146</v>
      </c>
      <c r="G231" s="651" t="s">
        <v>1099</v>
      </c>
      <c r="H231" s="653" t="s">
        <v>1099</v>
      </c>
      <c r="I231" s="653" t="s">
        <v>1099</v>
      </c>
      <c r="J231" s="653">
        <v>1</v>
      </c>
      <c r="K231" s="651"/>
      <c r="L231" s="651"/>
      <c r="M231" s="651"/>
      <c r="N231" s="651"/>
      <c r="O231" s="651"/>
      <c r="P231" s="651"/>
    </row>
    <row r="232" spans="1:16" ht="18.75">
      <c r="A232" s="652">
        <v>228</v>
      </c>
      <c r="B232" s="651" t="s">
        <v>945</v>
      </c>
      <c r="C232" s="651" t="s">
        <v>861</v>
      </c>
      <c r="D232" s="651">
        <v>1998</v>
      </c>
      <c r="E232" s="651">
        <v>10</v>
      </c>
      <c r="F232" s="651" t="s">
        <v>1165</v>
      </c>
      <c r="G232" s="651">
        <v>14</v>
      </c>
      <c r="H232" s="653">
        <v>0.53</v>
      </c>
      <c r="I232" s="653">
        <v>6.32</v>
      </c>
      <c r="J232" s="653">
        <v>0</v>
      </c>
      <c r="K232" s="651"/>
      <c r="L232" s="651"/>
      <c r="M232" s="651"/>
      <c r="N232" s="651"/>
      <c r="O232" s="651"/>
      <c r="P232" s="651"/>
    </row>
    <row r="233" spans="1:16" ht="18.75">
      <c r="A233" s="652">
        <v>229</v>
      </c>
      <c r="B233" s="651" t="s">
        <v>835</v>
      </c>
      <c r="C233" s="651" t="s">
        <v>861</v>
      </c>
      <c r="D233" s="651">
        <v>1987</v>
      </c>
      <c r="E233" s="651">
        <v>10</v>
      </c>
      <c r="F233" s="651" t="s">
        <v>1165</v>
      </c>
      <c r="G233" s="651">
        <v>13</v>
      </c>
      <c r="H233" s="653">
        <v>0.23</v>
      </c>
      <c r="I233" s="653">
        <v>2.76</v>
      </c>
      <c r="J233" s="653">
        <v>0</v>
      </c>
      <c r="K233" s="651"/>
      <c r="L233" s="651"/>
      <c r="M233" s="651"/>
      <c r="N233" s="651"/>
      <c r="O233" s="651"/>
      <c r="P233" s="651"/>
    </row>
    <row r="234" spans="1:16" ht="18.75">
      <c r="A234" s="652">
        <v>230</v>
      </c>
      <c r="B234" s="651" t="s">
        <v>924</v>
      </c>
      <c r="C234" s="651" t="s">
        <v>1166</v>
      </c>
      <c r="D234" s="651">
        <v>2008</v>
      </c>
      <c r="E234" s="651">
        <v>10</v>
      </c>
      <c r="F234" s="651" t="s">
        <v>1165</v>
      </c>
      <c r="G234" s="666">
        <v>19.3</v>
      </c>
      <c r="H234" s="653">
        <v>0.35</v>
      </c>
      <c r="I234" s="653">
        <v>4.2</v>
      </c>
      <c r="J234" s="653">
        <v>118.54</v>
      </c>
      <c r="K234" s="651"/>
      <c r="L234" s="651"/>
      <c r="M234" s="651"/>
      <c r="N234" s="651"/>
      <c r="O234" s="651"/>
      <c r="P234" s="651"/>
    </row>
    <row r="235" spans="1:16" ht="18.75">
      <c r="A235" s="652">
        <v>231</v>
      </c>
      <c r="B235" s="651" t="s">
        <v>1167</v>
      </c>
      <c r="C235" s="651" t="s">
        <v>861</v>
      </c>
      <c r="D235" s="651">
        <v>1992</v>
      </c>
      <c r="E235" s="651">
        <v>10</v>
      </c>
      <c r="F235" s="651" t="s">
        <v>1165</v>
      </c>
      <c r="G235" s="651">
        <v>10.9</v>
      </c>
      <c r="H235" s="653">
        <v>0.23</v>
      </c>
      <c r="I235" s="653">
        <v>2.82</v>
      </c>
      <c r="J235" s="653">
        <v>0</v>
      </c>
      <c r="K235" s="651"/>
      <c r="L235" s="651"/>
      <c r="M235" s="651"/>
      <c r="N235" s="651"/>
      <c r="O235" s="651"/>
      <c r="P235" s="651"/>
    </row>
    <row r="236" spans="1:16" ht="18.75">
      <c r="A236" s="652">
        <v>232</v>
      </c>
      <c r="B236" s="651" t="s">
        <v>918</v>
      </c>
      <c r="C236" s="651" t="s">
        <v>861</v>
      </c>
      <c r="D236" s="651">
        <v>1999</v>
      </c>
      <c r="E236" s="651">
        <v>10</v>
      </c>
      <c r="F236" s="651" t="s">
        <v>1165</v>
      </c>
      <c r="G236" s="651">
        <v>17.9</v>
      </c>
      <c r="H236" s="653">
        <v>0.25</v>
      </c>
      <c r="I236" s="653">
        <v>3</v>
      </c>
      <c r="J236" s="653">
        <v>0</v>
      </c>
      <c r="K236" s="651"/>
      <c r="L236" s="651"/>
      <c r="M236" s="651"/>
      <c r="N236" s="651"/>
      <c r="O236" s="651"/>
      <c r="P236" s="651"/>
    </row>
    <row r="237" spans="1:16" ht="18.75">
      <c r="A237" s="652">
        <v>233</v>
      </c>
      <c r="B237" s="651" t="s">
        <v>875</v>
      </c>
      <c r="C237" s="651" t="s">
        <v>1168</v>
      </c>
      <c r="D237" s="651">
        <v>1985</v>
      </c>
      <c r="E237" s="651">
        <v>10</v>
      </c>
      <c r="F237" s="651" t="s">
        <v>1165</v>
      </c>
      <c r="G237" s="651">
        <v>27.2</v>
      </c>
      <c r="H237" s="653">
        <v>0.35</v>
      </c>
      <c r="I237" s="653">
        <v>4.26</v>
      </c>
      <c r="J237" s="653">
        <v>0</v>
      </c>
      <c r="K237" s="651"/>
      <c r="L237" s="651"/>
      <c r="M237" s="651"/>
      <c r="N237" s="651"/>
      <c r="O237" s="651"/>
      <c r="P237" s="651"/>
    </row>
    <row r="238" spans="1:16" ht="18.75">
      <c r="A238" s="652">
        <v>234</v>
      </c>
      <c r="B238" s="651" t="s">
        <v>876</v>
      </c>
      <c r="C238" s="651" t="s">
        <v>1169</v>
      </c>
      <c r="D238" s="651">
        <v>1982</v>
      </c>
      <c r="E238" s="651">
        <v>10</v>
      </c>
      <c r="F238" s="651" t="s">
        <v>1165</v>
      </c>
      <c r="G238" s="651">
        <v>32.7</v>
      </c>
      <c r="H238" s="653">
        <v>0.36</v>
      </c>
      <c r="I238" s="653">
        <v>4.32</v>
      </c>
      <c r="J238" s="653">
        <v>0</v>
      </c>
      <c r="K238" s="651"/>
      <c r="L238" s="651"/>
      <c r="M238" s="651"/>
      <c r="N238" s="651"/>
      <c r="O238" s="651"/>
      <c r="P238" s="651"/>
    </row>
    <row r="239" spans="1:16" ht="18.75">
      <c r="A239" s="652">
        <v>235</v>
      </c>
      <c r="B239" s="651" t="s">
        <v>834</v>
      </c>
      <c r="C239" s="651" t="s">
        <v>1170</v>
      </c>
      <c r="D239" s="651">
        <v>1986</v>
      </c>
      <c r="E239" s="651">
        <v>10</v>
      </c>
      <c r="F239" s="651" t="s">
        <v>1165</v>
      </c>
      <c r="G239" s="651">
        <v>26.1</v>
      </c>
      <c r="H239" s="653">
        <v>0.25</v>
      </c>
      <c r="I239" s="653">
        <v>3</v>
      </c>
      <c r="J239" s="653">
        <v>0</v>
      </c>
      <c r="K239" s="651"/>
      <c r="L239" s="651"/>
      <c r="M239" s="651"/>
      <c r="N239" s="651"/>
      <c r="O239" s="651"/>
      <c r="P239" s="651"/>
    </row>
    <row r="240" spans="1:16" ht="18.75">
      <c r="A240" s="652">
        <v>236</v>
      </c>
      <c r="B240" s="651" t="s">
        <v>834</v>
      </c>
      <c r="C240" s="651" t="s">
        <v>1171</v>
      </c>
      <c r="D240" s="651">
        <v>1968</v>
      </c>
      <c r="E240" s="651">
        <v>10</v>
      </c>
      <c r="F240" s="651" t="s">
        <v>1165</v>
      </c>
      <c r="G240" s="651">
        <v>26.1</v>
      </c>
      <c r="H240" s="653">
        <v>0.26</v>
      </c>
      <c r="I240" s="653">
        <v>3.12</v>
      </c>
      <c r="J240" s="653">
        <v>0</v>
      </c>
      <c r="K240" s="651"/>
      <c r="L240" s="651"/>
      <c r="M240" s="651"/>
      <c r="N240" s="651"/>
      <c r="O240" s="651"/>
      <c r="P240" s="651"/>
    </row>
    <row r="241" spans="1:16" ht="18.75">
      <c r="A241" s="652">
        <v>237</v>
      </c>
      <c r="B241" s="651" t="s">
        <v>834</v>
      </c>
      <c r="C241" s="651" t="s">
        <v>1172</v>
      </c>
      <c r="D241" s="651">
        <v>1986</v>
      </c>
      <c r="E241" s="651">
        <v>10</v>
      </c>
      <c r="F241" s="651" t="s">
        <v>1165</v>
      </c>
      <c r="G241" s="651">
        <v>27.2</v>
      </c>
      <c r="H241" s="653">
        <v>0.22</v>
      </c>
      <c r="I241" s="653">
        <v>2.64</v>
      </c>
      <c r="J241" s="653">
        <v>0</v>
      </c>
      <c r="K241" s="651"/>
      <c r="L241" s="651"/>
      <c r="M241" s="651"/>
      <c r="N241" s="651"/>
      <c r="O241" s="651"/>
      <c r="P241" s="651"/>
    </row>
    <row r="242" spans="1:16" ht="18.75">
      <c r="A242" s="652">
        <v>238</v>
      </c>
      <c r="B242" s="651" t="s">
        <v>875</v>
      </c>
      <c r="C242" s="651" t="s">
        <v>1171</v>
      </c>
      <c r="D242" s="651">
        <v>1982</v>
      </c>
      <c r="E242" s="651">
        <v>10</v>
      </c>
      <c r="F242" s="651" t="s">
        <v>1165</v>
      </c>
      <c r="G242" s="651">
        <v>29.4</v>
      </c>
      <c r="H242" s="653">
        <v>0.24</v>
      </c>
      <c r="I242" s="653">
        <v>2.94</v>
      </c>
      <c r="J242" s="653">
        <v>0</v>
      </c>
      <c r="K242" s="651"/>
      <c r="L242" s="651"/>
      <c r="M242" s="651"/>
      <c r="N242" s="651"/>
      <c r="O242" s="651"/>
      <c r="P242" s="651"/>
    </row>
    <row r="243" spans="1:16" ht="18.75">
      <c r="A243" s="652">
        <v>239</v>
      </c>
      <c r="B243" s="651" t="s">
        <v>834</v>
      </c>
      <c r="C243" s="651" t="s">
        <v>1173</v>
      </c>
      <c r="D243" s="651">
        <v>1984</v>
      </c>
      <c r="E243" s="651">
        <v>10</v>
      </c>
      <c r="F243" s="651" t="s">
        <v>1165</v>
      </c>
      <c r="G243" s="651">
        <v>28.3</v>
      </c>
      <c r="H243" s="653">
        <v>0.25</v>
      </c>
      <c r="I243" s="653">
        <v>3</v>
      </c>
      <c r="J243" s="653">
        <v>0</v>
      </c>
      <c r="K243" s="651"/>
      <c r="L243" s="651"/>
      <c r="M243" s="651"/>
      <c r="N243" s="651"/>
      <c r="O243" s="651"/>
      <c r="P243" s="651"/>
    </row>
    <row r="244" spans="1:16" ht="18.75">
      <c r="A244" s="652">
        <v>240</v>
      </c>
      <c r="B244" s="651" t="s">
        <v>834</v>
      </c>
      <c r="C244" s="651" t="s">
        <v>1173</v>
      </c>
      <c r="D244" s="651">
        <v>1983</v>
      </c>
      <c r="E244" s="651">
        <v>10</v>
      </c>
      <c r="F244" s="651" t="s">
        <v>1165</v>
      </c>
      <c r="G244" s="651">
        <v>28.3</v>
      </c>
      <c r="H244" s="653">
        <v>0.24</v>
      </c>
      <c r="I244" s="653">
        <v>2.94</v>
      </c>
      <c r="J244" s="653">
        <v>0</v>
      </c>
      <c r="K244" s="651"/>
      <c r="L244" s="651"/>
      <c r="M244" s="651"/>
      <c r="N244" s="651"/>
      <c r="O244" s="651"/>
      <c r="P244" s="651"/>
    </row>
    <row r="245" spans="1:16" ht="18.75">
      <c r="A245" s="652">
        <v>241</v>
      </c>
      <c r="B245" s="651" t="s">
        <v>834</v>
      </c>
      <c r="C245" s="651" t="s">
        <v>1174</v>
      </c>
      <c r="D245" s="651">
        <v>1991</v>
      </c>
      <c r="E245" s="651">
        <v>10</v>
      </c>
      <c r="F245" s="651" t="s">
        <v>1165</v>
      </c>
      <c r="G245" s="651">
        <v>28.3</v>
      </c>
      <c r="H245" s="653">
        <v>0.26</v>
      </c>
      <c r="I245" s="653">
        <v>3.12</v>
      </c>
      <c r="J245" s="653">
        <v>0</v>
      </c>
      <c r="K245" s="651"/>
      <c r="L245" s="651"/>
      <c r="M245" s="651"/>
      <c r="N245" s="651"/>
      <c r="O245" s="651"/>
      <c r="P245" s="651"/>
    </row>
    <row r="246" spans="1:16" ht="18.75">
      <c r="A246" s="652">
        <v>242</v>
      </c>
      <c r="B246" s="651" t="s">
        <v>873</v>
      </c>
      <c r="C246" s="651" t="s">
        <v>1173</v>
      </c>
      <c r="D246" s="651">
        <v>1990</v>
      </c>
      <c r="E246" s="651">
        <v>10</v>
      </c>
      <c r="F246" s="651" t="s">
        <v>1165</v>
      </c>
      <c r="G246" s="651">
        <v>31.6</v>
      </c>
      <c r="H246" s="653">
        <v>0.25</v>
      </c>
      <c r="I246" s="653">
        <v>3</v>
      </c>
      <c r="J246" s="653">
        <v>0</v>
      </c>
      <c r="K246" s="651"/>
      <c r="L246" s="651"/>
      <c r="M246" s="651"/>
      <c r="N246" s="651"/>
      <c r="O246" s="651"/>
      <c r="P246" s="651"/>
    </row>
    <row r="247" spans="1:16" ht="18.75">
      <c r="A247" s="652">
        <v>243</v>
      </c>
      <c r="B247" s="651" t="s">
        <v>955</v>
      </c>
      <c r="C247" s="651" t="s">
        <v>1166</v>
      </c>
      <c r="D247" s="651">
        <v>1988</v>
      </c>
      <c r="E247" s="651">
        <v>10</v>
      </c>
      <c r="F247" s="651" t="s">
        <v>1165</v>
      </c>
      <c r="G247" s="651">
        <v>41.9</v>
      </c>
      <c r="H247" s="653">
        <v>0.27</v>
      </c>
      <c r="I247" s="653">
        <v>3.24</v>
      </c>
      <c r="J247" s="653">
        <v>2.35</v>
      </c>
      <c r="K247" s="651"/>
      <c r="L247" s="651"/>
      <c r="M247" s="651"/>
      <c r="N247" s="651"/>
      <c r="O247" s="651"/>
      <c r="P247" s="651"/>
    </row>
    <row r="248" spans="1:16" ht="18.75">
      <c r="A248" s="652">
        <v>244</v>
      </c>
      <c r="B248" s="651" t="s">
        <v>855</v>
      </c>
      <c r="C248" s="651" t="s">
        <v>1175</v>
      </c>
      <c r="D248" s="651">
        <v>1998</v>
      </c>
      <c r="E248" s="651">
        <v>10</v>
      </c>
      <c r="F248" s="651" t="s">
        <v>1165</v>
      </c>
      <c r="G248" s="651">
        <v>18.5</v>
      </c>
      <c r="H248" s="653">
        <v>0.23</v>
      </c>
      <c r="I248" s="653">
        <v>2.82</v>
      </c>
      <c r="J248" s="653">
        <v>0</v>
      </c>
      <c r="K248" s="651"/>
      <c r="L248" s="651"/>
      <c r="M248" s="651"/>
      <c r="N248" s="651"/>
      <c r="O248" s="651"/>
      <c r="P248" s="651"/>
    </row>
    <row r="249" spans="1:16" ht="18.75">
      <c r="A249" s="652">
        <v>245</v>
      </c>
      <c r="B249" s="651" t="s">
        <v>961</v>
      </c>
      <c r="C249" s="651" t="s">
        <v>1176</v>
      </c>
      <c r="D249" s="651">
        <v>1988</v>
      </c>
      <c r="E249" s="651">
        <v>10</v>
      </c>
      <c r="F249" s="651" t="s">
        <v>1165</v>
      </c>
      <c r="G249" s="651">
        <v>43.6</v>
      </c>
      <c r="H249" s="653">
        <v>0.3</v>
      </c>
      <c r="I249" s="653">
        <v>3.6</v>
      </c>
      <c r="J249" s="653">
        <v>0</v>
      </c>
      <c r="K249" s="651"/>
      <c r="L249" s="651"/>
      <c r="M249" s="651"/>
      <c r="N249" s="651"/>
      <c r="O249" s="651"/>
      <c r="P249" s="651"/>
    </row>
    <row r="250" spans="1:16" ht="18.75">
      <c r="A250" s="652">
        <v>246</v>
      </c>
      <c r="B250" s="651" t="s">
        <v>876</v>
      </c>
      <c r="C250" s="651" t="s">
        <v>1177</v>
      </c>
      <c r="D250" s="651">
        <v>1992</v>
      </c>
      <c r="E250" s="651">
        <v>10</v>
      </c>
      <c r="F250" s="651" t="s">
        <v>1165</v>
      </c>
      <c r="G250" s="651">
        <v>32.7</v>
      </c>
      <c r="H250" s="653">
        <v>0.5</v>
      </c>
      <c r="I250" s="653">
        <v>6</v>
      </c>
      <c r="J250" s="653">
        <v>0</v>
      </c>
      <c r="K250" s="651"/>
      <c r="L250" s="651"/>
      <c r="M250" s="651"/>
      <c r="N250" s="651"/>
      <c r="O250" s="651"/>
      <c r="P250" s="651"/>
    </row>
    <row r="251" spans="1:16" ht="18.75">
      <c r="A251" s="652">
        <v>247</v>
      </c>
      <c r="B251" s="651" t="s">
        <v>1178</v>
      </c>
      <c r="C251" s="651" t="s">
        <v>1179</v>
      </c>
      <c r="D251" s="651">
        <v>1992</v>
      </c>
      <c r="E251" s="651">
        <v>10</v>
      </c>
      <c r="F251" s="651" t="s">
        <v>1165</v>
      </c>
      <c r="G251" s="651">
        <v>32.7</v>
      </c>
      <c r="H251" s="653">
        <v>0.24</v>
      </c>
      <c r="I251" s="653">
        <v>2.94</v>
      </c>
      <c r="J251" s="653">
        <v>0</v>
      </c>
      <c r="K251" s="651"/>
      <c r="L251" s="651"/>
      <c r="M251" s="651"/>
      <c r="N251" s="651"/>
      <c r="O251" s="651"/>
      <c r="P251" s="651"/>
    </row>
    <row r="252" spans="1:16" ht="18.75">
      <c r="A252" s="652">
        <v>248</v>
      </c>
      <c r="B252" s="651" t="s">
        <v>855</v>
      </c>
      <c r="C252" s="651" t="s">
        <v>1180</v>
      </c>
      <c r="D252" s="651">
        <v>1999</v>
      </c>
      <c r="E252" s="651">
        <v>10</v>
      </c>
      <c r="F252" s="651" t="s">
        <v>1165</v>
      </c>
      <c r="G252" s="651">
        <v>18.5</v>
      </c>
      <c r="H252" s="653">
        <v>0.27</v>
      </c>
      <c r="I252" s="653">
        <v>3.24</v>
      </c>
      <c r="J252" s="653">
        <v>0</v>
      </c>
      <c r="K252" s="651"/>
      <c r="L252" s="651"/>
      <c r="M252" s="651"/>
      <c r="N252" s="651"/>
      <c r="O252" s="651"/>
      <c r="P252" s="651"/>
    </row>
    <row r="253" spans="1:16" ht="37.5">
      <c r="A253" s="652">
        <v>249</v>
      </c>
      <c r="B253" s="651" t="s">
        <v>1181</v>
      </c>
      <c r="C253" s="651" t="s">
        <v>1182</v>
      </c>
      <c r="D253" s="651">
        <v>1990</v>
      </c>
      <c r="E253" s="651">
        <v>10</v>
      </c>
      <c r="F253" s="651" t="s">
        <v>1165</v>
      </c>
      <c r="G253" s="651">
        <v>18.5</v>
      </c>
      <c r="H253" s="653">
        <v>0.26</v>
      </c>
      <c r="I253" s="653">
        <v>31.8</v>
      </c>
      <c r="J253" s="653">
        <v>0</v>
      </c>
      <c r="K253" s="651"/>
      <c r="L253" s="1411" t="s">
        <v>1344</v>
      </c>
      <c r="M253" s="1411" t="s">
        <v>2411</v>
      </c>
      <c r="N253" s="1411">
        <v>281.89</v>
      </c>
      <c r="O253" s="1411">
        <v>17</v>
      </c>
      <c r="P253" s="1411"/>
    </row>
    <row r="254" spans="1:16" ht="18.75">
      <c r="A254" s="652">
        <v>250</v>
      </c>
      <c r="B254" s="651" t="s">
        <v>948</v>
      </c>
      <c r="C254" s="651" t="s">
        <v>854</v>
      </c>
      <c r="D254" s="651">
        <v>1999</v>
      </c>
      <c r="E254" s="651">
        <v>10</v>
      </c>
      <c r="F254" s="651" t="s">
        <v>1165</v>
      </c>
      <c r="G254" s="651">
        <v>20</v>
      </c>
      <c r="H254" s="653">
        <v>0.27</v>
      </c>
      <c r="I254" s="653">
        <v>3.3</v>
      </c>
      <c r="J254" s="653">
        <v>0</v>
      </c>
      <c r="K254" s="651"/>
      <c r="L254" s="651"/>
      <c r="M254" s="651"/>
      <c r="N254" s="651"/>
      <c r="O254" s="651"/>
      <c r="P254" s="651"/>
    </row>
    <row r="255" spans="1:16" ht="18.75">
      <c r="A255" s="652">
        <v>251</v>
      </c>
      <c r="B255" s="651" t="s">
        <v>928</v>
      </c>
      <c r="C255" s="651" t="s">
        <v>1183</v>
      </c>
      <c r="D255" s="651">
        <v>2003</v>
      </c>
      <c r="E255" s="651">
        <v>10</v>
      </c>
      <c r="F255" s="651" t="s">
        <v>1165</v>
      </c>
      <c r="G255" s="651">
        <v>17</v>
      </c>
      <c r="H255" s="653">
        <v>0.26</v>
      </c>
      <c r="I255" s="653">
        <v>3.12</v>
      </c>
      <c r="J255" s="653">
        <v>1.17</v>
      </c>
      <c r="K255" s="651"/>
      <c r="L255" s="651"/>
      <c r="M255" s="651"/>
      <c r="N255" s="651"/>
      <c r="O255" s="651"/>
      <c r="P255" s="651"/>
    </row>
    <row r="256" spans="1:16" ht="18.75">
      <c r="A256" s="652">
        <v>252</v>
      </c>
      <c r="B256" s="651" t="s">
        <v>918</v>
      </c>
      <c r="C256" s="651" t="s">
        <v>861</v>
      </c>
      <c r="D256" s="651">
        <v>2000</v>
      </c>
      <c r="E256" s="651">
        <v>10</v>
      </c>
      <c r="F256" s="651" t="s">
        <v>1165</v>
      </c>
      <c r="G256" s="651">
        <v>17.9</v>
      </c>
      <c r="H256" s="653">
        <v>0.24</v>
      </c>
      <c r="I256" s="653">
        <v>2.88</v>
      </c>
      <c r="J256" s="653">
        <v>0</v>
      </c>
      <c r="K256" s="651"/>
      <c r="L256" s="651"/>
      <c r="M256" s="651"/>
      <c r="N256" s="651"/>
      <c r="O256" s="651"/>
      <c r="P256" s="651"/>
    </row>
    <row r="257" spans="1:16" ht="37.5">
      <c r="A257" s="652">
        <v>253</v>
      </c>
      <c r="B257" s="651" t="s">
        <v>1184</v>
      </c>
      <c r="C257" s="651" t="s">
        <v>1185</v>
      </c>
      <c r="D257" s="651">
        <v>2008</v>
      </c>
      <c r="E257" s="651">
        <v>10</v>
      </c>
      <c r="F257" s="651" t="s">
        <v>1165</v>
      </c>
      <c r="G257" s="651">
        <v>13.1</v>
      </c>
      <c r="H257" s="653">
        <v>0.24</v>
      </c>
      <c r="I257" s="653">
        <v>2.94</v>
      </c>
      <c r="J257" s="653">
        <v>231.74</v>
      </c>
      <c r="K257" s="651"/>
      <c r="L257" s="651"/>
      <c r="M257" s="651"/>
      <c r="N257" s="651"/>
      <c r="O257" s="651"/>
      <c r="P257" s="651"/>
    </row>
    <row r="258" spans="1:16" ht="18.75">
      <c r="A258" s="652">
        <v>254</v>
      </c>
      <c r="B258" s="651" t="s">
        <v>924</v>
      </c>
      <c r="C258" s="651" t="s">
        <v>1166</v>
      </c>
      <c r="D258" s="651">
        <v>2012</v>
      </c>
      <c r="E258" s="651">
        <v>10</v>
      </c>
      <c r="F258" s="651" t="s">
        <v>1165</v>
      </c>
      <c r="G258" s="651">
        <v>19.3</v>
      </c>
      <c r="H258" s="653">
        <v>0.25</v>
      </c>
      <c r="I258" s="653">
        <v>3</v>
      </c>
      <c r="J258" s="653">
        <v>311.2</v>
      </c>
      <c r="K258" s="651"/>
      <c r="L258" s="651"/>
      <c r="M258" s="651"/>
      <c r="N258" s="651"/>
      <c r="O258" s="651"/>
      <c r="P258" s="651"/>
    </row>
    <row r="259" spans="1:16" ht="18.75">
      <c r="A259" s="652">
        <v>255</v>
      </c>
      <c r="B259" s="651" t="s">
        <v>832</v>
      </c>
      <c r="C259" s="651" t="s">
        <v>1186</v>
      </c>
      <c r="D259" s="651">
        <v>1992</v>
      </c>
      <c r="E259" s="651">
        <v>10</v>
      </c>
      <c r="F259" s="651" t="s">
        <v>1165</v>
      </c>
      <c r="G259" s="651">
        <v>5.5</v>
      </c>
      <c r="H259" s="653">
        <v>0.42</v>
      </c>
      <c r="I259" s="653">
        <v>5.04</v>
      </c>
      <c r="J259" s="653">
        <v>0</v>
      </c>
      <c r="K259" s="651"/>
      <c r="L259" s="651"/>
      <c r="M259" s="651"/>
      <c r="N259" s="651"/>
      <c r="O259" s="651"/>
      <c r="P259" s="651"/>
    </row>
    <row r="260" spans="1:16" ht="18.75">
      <c r="A260" s="652">
        <v>256</v>
      </c>
      <c r="B260" s="651" t="s">
        <v>832</v>
      </c>
      <c r="C260" s="651" t="s">
        <v>1186</v>
      </c>
      <c r="D260" s="651">
        <v>1983</v>
      </c>
      <c r="E260" s="651">
        <v>10</v>
      </c>
      <c r="F260" s="651" t="s">
        <v>1165</v>
      </c>
      <c r="G260" s="651">
        <v>5.5</v>
      </c>
      <c r="H260" s="653">
        <v>0.4</v>
      </c>
      <c r="I260" s="653">
        <v>4.8</v>
      </c>
      <c r="J260" s="653">
        <v>0</v>
      </c>
      <c r="K260" s="651"/>
      <c r="L260" s="651"/>
      <c r="M260" s="651"/>
      <c r="N260" s="651"/>
      <c r="O260" s="651"/>
      <c r="P260" s="651"/>
    </row>
    <row r="261" spans="1:16" ht="18.75">
      <c r="A261" s="652">
        <v>257</v>
      </c>
      <c r="B261" s="651" t="s">
        <v>891</v>
      </c>
      <c r="C261" s="651" t="s">
        <v>1186</v>
      </c>
      <c r="D261" s="651">
        <v>1992</v>
      </c>
      <c r="E261" s="651">
        <v>10</v>
      </c>
      <c r="F261" s="651" t="s">
        <v>1165</v>
      </c>
      <c r="G261" s="651">
        <v>4.8</v>
      </c>
      <c r="H261" s="653">
        <v>0.37</v>
      </c>
      <c r="I261" s="653">
        <v>4.44</v>
      </c>
      <c r="J261" s="653">
        <v>0</v>
      </c>
      <c r="K261" s="651"/>
      <c r="L261" s="651"/>
      <c r="M261" s="651"/>
      <c r="N261" s="651"/>
      <c r="O261" s="651"/>
      <c r="P261" s="651"/>
    </row>
    <row r="262" spans="1:16" ht="18.75">
      <c r="A262" s="652">
        <v>258</v>
      </c>
      <c r="B262" s="651" t="s">
        <v>891</v>
      </c>
      <c r="C262" s="651" t="s">
        <v>1186</v>
      </c>
      <c r="D262" s="651">
        <v>1986</v>
      </c>
      <c r="E262" s="651">
        <v>10</v>
      </c>
      <c r="F262" s="651" t="s">
        <v>1165</v>
      </c>
      <c r="G262" s="651">
        <v>4.8</v>
      </c>
      <c r="H262" s="653">
        <v>0.38</v>
      </c>
      <c r="I262" s="653">
        <v>4.56</v>
      </c>
      <c r="J262" s="653">
        <v>0</v>
      </c>
      <c r="K262" s="651"/>
      <c r="L262" s="651"/>
      <c r="M262" s="651"/>
      <c r="N262" s="651"/>
      <c r="O262" s="651"/>
      <c r="P262" s="651"/>
    </row>
    <row r="263" spans="1:16" ht="18.75">
      <c r="A263" s="652">
        <v>259</v>
      </c>
      <c r="B263" s="651" t="s">
        <v>1133</v>
      </c>
      <c r="C263" s="651" t="s">
        <v>1186</v>
      </c>
      <c r="D263" s="651">
        <v>1989</v>
      </c>
      <c r="E263" s="651">
        <v>10</v>
      </c>
      <c r="F263" s="651" t="s">
        <v>1165</v>
      </c>
      <c r="G263" s="651">
        <v>15</v>
      </c>
      <c r="H263" s="653">
        <v>0.52</v>
      </c>
      <c r="I263" s="653">
        <v>6.24</v>
      </c>
      <c r="J263" s="653">
        <v>2.62</v>
      </c>
      <c r="K263" s="651"/>
      <c r="L263" s="651"/>
      <c r="M263" s="651"/>
      <c r="N263" s="651"/>
      <c r="O263" s="651"/>
      <c r="P263" s="651"/>
    </row>
    <row r="264" spans="1:16" ht="18.75">
      <c r="A264" s="652">
        <v>260</v>
      </c>
      <c r="B264" s="651" t="s">
        <v>1133</v>
      </c>
      <c r="C264" s="651" t="s">
        <v>1186</v>
      </c>
      <c r="D264" s="651">
        <v>2003</v>
      </c>
      <c r="E264" s="651">
        <v>10</v>
      </c>
      <c r="F264" s="651" t="s">
        <v>1165</v>
      </c>
      <c r="G264" s="651">
        <v>15</v>
      </c>
      <c r="H264" s="653">
        <v>0.45</v>
      </c>
      <c r="I264" s="653">
        <v>5.4</v>
      </c>
      <c r="J264" s="653">
        <v>2.85</v>
      </c>
      <c r="K264" s="651"/>
      <c r="L264" s="651"/>
      <c r="M264" s="651"/>
      <c r="N264" s="651"/>
      <c r="O264" s="651"/>
      <c r="P264" s="651"/>
    </row>
    <row r="265" spans="1:16" ht="18.75">
      <c r="A265" s="652">
        <v>261</v>
      </c>
      <c r="B265" s="651" t="s">
        <v>1187</v>
      </c>
      <c r="C265" s="651" t="s">
        <v>1188</v>
      </c>
      <c r="D265" s="651">
        <v>1988</v>
      </c>
      <c r="E265" s="651">
        <v>10</v>
      </c>
      <c r="F265" s="651" t="s">
        <v>1165</v>
      </c>
      <c r="G265" s="651">
        <v>5.5</v>
      </c>
      <c r="H265" s="653">
        <v>48</v>
      </c>
      <c r="I265" s="653">
        <v>5.76</v>
      </c>
      <c r="J265" s="653">
        <v>0</v>
      </c>
      <c r="K265" s="651"/>
      <c r="L265" s="651"/>
      <c r="M265" s="651"/>
      <c r="N265" s="651"/>
      <c r="O265" s="651"/>
      <c r="P265" s="651"/>
    </row>
    <row r="266" spans="1:16" ht="18.75">
      <c r="A266" s="652">
        <v>262</v>
      </c>
      <c r="B266" s="651" t="s">
        <v>894</v>
      </c>
      <c r="C266" s="651" t="s">
        <v>893</v>
      </c>
      <c r="D266" s="651">
        <v>1988</v>
      </c>
      <c r="E266" s="651">
        <v>10</v>
      </c>
      <c r="F266" s="651" t="s">
        <v>1165</v>
      </c>
      <c r="G266" s="651">
        <v>0</v>
      </c>
      <c r="H266" s="653">
        <v>0</v>
      </c>
      <c r="I266" s="653">
        <v>0</v>
      </c>
      <c r="J266" s="653">
        <v>0</v>
      </c>
      <c r="K266" s="651"/>
      <c r="L266" s="651"/>
      <c r="M266" s="651"/>
      <c r="N266" s="651"/>
      <c r="O266" s="651"/>
      <c r="P266" s="651"/>
    </row>
    <row r="267" spans="1:16" ht="18.75">
      <c r="A267" s="652">
        <v>263</v>
      </c>
      <c r="B267" s="651" t="s">
        <v>894</v>
      </c>
      <c r="C267" s="651" t="s">
        <v>893</v>
      </c>
      <c r="D267" s="651">
        <v>1977</v>
      </c>
      <c r="E267" s="651">
        <v>10</v>
      </c>
      <c r="F267" s="651" t="s">
        <v>1165</v>
      </c>
      <c r="G267" s="651">
        <v>0</v>
      </c>
      <c r="H267" s="653">
        <v>0</v>
      </c>
      <c r="I267" s="653">
        <v>0</v>
      </c>
      <c r="J267" s="653">
        <v>0</v>
      </c>
      <c r="K267" s="651"/>
      <c r="L267" s="651"/>
      <c r="M267" s="651"/>
      <c r="N267" s="651"/>
      <c r="O267" s="651"/>
      <c r="P267" s="651"/>
    </row>
    <row r="268" spans="1:16" ht="18.75">
      <c r="A268" s="652">
        <v>264</v>
      </c>
      <c r="B268" s="651" t="s">
        <v>894</v>
      </c>
      <c r="C268" s="651" t="s">
        <v>893</v>
      </c>
      <c r="D268" s="651">
        <v>1990</v>
      </c>
      <c r="E268" s="651">
        <v>10</v>
      </c>
      <c r="F268" s="651" t="s">
        <v>1165</v>
      </c>
      <c r="G268" s="651">
        <v>0</v>
      </c>
      <c r="H268" s="653">
        <v>0</v>
      </c>
      <c r="I268" s="653">
        <v>0</v>
      </c>
      <c r="J268" s="653">
        <v>0</v>
      </c>
      <c r="K268" s="651"/>
      <c r="L268" s="651"/>
      <c r="M268" s="651"/>
      <c r="N268" s="651"/>
      <c r="O268" s="651"/>
      <c r="P268" s="651"/>
    </row>
    <row r="269" spans="1:16" ht="18.75">
      <c r="A269" s="652">
        <v>265</v>
      </c>
      <c r="B269" s="651" t="s">
        <v>1189</v>
      </c>
      <c r="C269" s="651" t="s">
        <v>893</v>
      </c>
      <c r="D269" s="651">
        <v>1981</v>
      </c>
      <c r="E269" s="651">
        <v>10</v>
      </c>
      <c r="F269" s="651" t="s">
        <v>1165</v>
      </c>
      <c r="G269" s="651">
        <v>0</v>
      </c>
      <c r="H269" s="653">
        <v>0</v>
      </c>
      <c r="I269" s="653">
        <v>0</v>
      </c>
      <c r="J269" s="653">
        <v>0</v>
      </c>
      <c r="K269" s="651"/>
      <c r="L269" s="651"/>
      <c r="M269" s="651"/>
      <c r="N269" s="651"/>
      <c r="O269" s="651"/>
      <c r="P269" s="651"/>
    </row>
    <row r="270" spans="1:16" ht="18.75">
      <c r="A270" s="652">
        <v>266</v>
      </c>
      <c r="B270" s="651" t="s">
        <v>1190</v>
      </c>
      <c r="C270" s="651" t="s">
        <v>917</v>
      </c>
      <c r="D270" s="651">
        <v>1966</v>
      </c>
      <c r="E270" s="651">
        <v>10</v>
      </c>
      <c r="F270" s="651" t="s">
        <v>1165</v>
      </c>
      <c r="G270" s="651">
        <v>0</v>
      </c>
      <c r="H270" s="653">
        <v>0</v>
      </c>
      <c r="I270" s="653">
        <v>0</v>
      </c>
      <c r="J270" s="653">
        <v>0</v>
      </c>
      <c r="K270" s="651"/>
      <c r="L270" s="651"/>
      <c r="M270" s="651"/>
      <c r="N270" s="651"/>
      <c r="O270" s="651"/>
      <c r="P270" s="651"/>
    </row>
    <row r="271" spans="1:16" ht="18.75">
      <c r="A271" s="652">
        <v>267</v>
      </c>
      <c r="B271" s="651" t="s">
        <v>945</v>
      </c>
      <c r="C271" s="651" t="s">
        <v>1191</v>
      </c>
      <c r="D271" s="651">
        <v>1999</v>
      </c>
      <c r="E271" s="651">
        <v>10</v>
      </c>
      <c r="F271" s="651" t="s">
        <v>839</v>
      </c>
      <c r="G271" s="651">
        <v>13.1</v>
      </c>
      <c r="H271" s="653">
        <v>0.88</v>
      </c>
      <c r="I271" s="653">
        <v>10.6</v>
      </c>
      <c r="J271" s="653">
        <v>0</v>
      </c>
      <c r="K271" s="651"/>
      <c r="L271" s="654"/>
      <c r="M271" s="654"/>
      <c r="N271" s="651"/>
      <c r="O271" s="651"/>
      <c r="P271" s="653"/>
    </row>
    <row r="272" spans="1:16" ht="18.75">
      <c r="A272" s="652">
        <v>268</v>
      </c>
      <c r="B272" s="651" t="s">
        <v>835</v>
      </c>
      <c r="C272" s="651" t="s">
        <v>1191</v>
      </c>
      <c r="D272" s="651">
        <v>1992</v>
      </c>
      <c r="E272" s="651">
        <v>10</v>
      </c>
      <c r="F272" s="651" t="s">
        <v>839</v>
      </c>
      <c r="G272" s="651">
        <v>12</v>
      </c>
      <c r="H272" s="653">
        <v>1.7</v>
      </c>
      <c r="I272" s="653">
        <v>20.42</v>
      </c>
      <c r="J272" s="653">
        <v>0</v>
      </c>
      <c r="K272" s="651"/>
      <c r="L272" s="654"/>
      <c r="M272" s="654"/>
      <c r="N272" s="655"/>
      <c r="O272" s="651"/>
      <c r="P272" s="653"/>
    </row>
    <row r="273" spans="1:16" ht="18.75">
      <c r="A273" s="652">
        <v>269</v>
      </c>
      <c r="B273" s="651" t="s">
        <v>1192</v>
      </c>
      <c r="C273" s="651" t="s">
        <v>1193</v>
      </c>
      <c r="D273" s="651">
        <v>1993</v>
      </c>
      <c r="E273" s="651">
        <v>10</v>
      </c>
      <c r="F273" s="651" t="s">
        <v>839</v>
      </c>
      <c r="G273" s="651">
        <v>11</v>
      </c>
      <c r="H273" s="653">
        <v>0</v>
      </c>
      <c r="I273" s="653">
        <v>0</v>
      </c>
      <c r="J273" s="653">
        <v>0</v>
      </c>
      <c r="K273" s="651"/>
      <c r="L273" s="654"/>
      <c r="M273" s="651"/>
      <c r="N273" s="653"/>
      <c r="O273" s="651"/>
      <c r="P273" s="653"/>
    </row>
    <row r="274" spans="1:16" ht="18.75">
      <c r="A274" s="652">
        <v>270</v>
      </c>
      <c r="B274" s="651" t="s">
        <v>918</v>
      </c>
      <c r="C274" s="651" t="s">
        <v>1191</v>
      </c>
      <c r="D274" s="651">
        <v>2008</v>
      </c>
      <c r="E274" s="651">
        <v>10</v>
      </c>
      <c r="F274" s="651" t="s">
        <v>839</v>
      </c>
      <c r="G274" s="651">
        <v>16.7</v>
      </c>
      <c r="H274" s="653">
        <v>0.66</v>
      </c>
      <c r="I274" s="653">
        <v>7.97</v>
      </c>
      <c r="J274" s="653">
        <v>0</v>
      </c>
      <c r="K274" s="651"/>
      <c r="L274" s="654"/>
      <c r="M274" s="651"/>
      <c r="N274" s="656"/>
      <c r="O274" s="651"/>
      <c r="P274" s="653"/>
    </row>
    <row r="275" spans="1:16" ht="18.75">
      <c r="A275" s="652">
        <v>271</v>
      </c>
      <c r="B275" s="651" t="s">
        <v>918</v>
      </c>
      <c r="C275" s="651" t="s">
        <v>1191</v>
      </c>
      <c r="D275" s="651">
        <v>1999</v>
      </c>
      <c r="E275" s="651">
        <v>10</v>
      </c>
      <c r="F275" s="651" t="s">
        <v>839</v>
      </c>
      <c r="G275" s="651">
        <v>16.7</v>
      </c>
      <c r="H275" s="653">
        <v>0</v>
      </c>
      <c r="I275" s="653">
        <v>0</v>
      </c>
      <c r="J275" s="653">
        <v>0</v>
      </c>
      <c r="K275" s="651"/>
      <c r="L275" s="654"/>
      <c r="M275" s="654"/>
      <c r="N275" s="655"/>
      <c r="O275" s="651"/>
      <c r="P275" s="653"/>
    </row>
    <row r="276" spans="1:16" ht="18.75">
      <c r="A276" s="652">
        <v>272</v>
      </c>
      <c r="B276" s="651" t="s">
        <v>1194</v>
      </c>
      <c r="C276" s="651" t="s">
        <v>1191</v>
      </c>
      <c r="D276" s="651">
        <v>2003</v>
      </c>
      <c r="E276" s="651">
        <v>10</v>
      </c>
      <c r="F276" s="651" t="s">
        <v>839</v>
      </c>
      <c r="G276" s="651">
        <v>16.7</v>
      </c>
      <c r="H276" s="653">
        <v>0.68</v>
      </c>
      <c r="I276" s="653">
        <v>8.3</v>
      </c>
      <c r="J276" s="653">
        <v>0</v>
      </c>
      <c r="K276" s="651"/>
      <c r="L276" s="654"/>
      <c r="M276" s="651"/>
      <c r="N276" s="653"/>
      <c r="O276" s="651"/>
      <c r="P276" s="651"/>
    </row>
    <row r="277" spans="1:16" ht="31.5">
      <c r="A277" s="652">
        <v>273</v>
      </c>
      <c r="B277" s="651" t="s">
        <v>883</v>
      </c>
      <c r="C277" s="651" t="s">
        <v>1193</v>
      </c>
      <c r="D277" s="651">
        <v>2000</v>
      </c>
      <c r="E277" s="651">
        <v>10</v>
      </c>
      <c r="F277" s="651" t="s">
        <v>839</v>
      </c>
      <c r="G277" s="651">
        <v>16.4</v>
      </c>
      <c r="H277" s="653">
        <v>0.78</v>
      </c>
      <c r="I277" s="653">
        <v>9.44</v>
      </c>
      <c r="J277" s="653">
        <v>0</v>
      </c>
      <c r="K277" s="651"/>
      <c r="L277" s="1411" t="s">
        <v>1344</v>
      </c>
      <c r="M277" s="1411" t="s">
        <v>2411</v>
      </c>
      <c r="N277" s="1411">
        <v>281.89</v>
      </c>
      <c r="O277" s="1411">
        <v>17</v>
      </c>
      <c r="P277" s="651"/>
    </row>
    <row r="278" spans="1:16" ht="18.75">
      <c r="A278" s="652">
        <v>274</v>
      </c>
      <c r="B278" s="651" t="s">
        <v>1195</v>
      </c>
      <c r="C278" s="651" t="s">
        <v>1196</v>
      </c>
      <c r="D278" s="651">
        <v>1998</v>
      </c>
      <c r="E278" s="651">
        <v>10</v>
      </c>
      <c r="F278" s="651" t="s">
        <v>839</v>
      </c>
      <c r="G278" s="651">
        <v>16.2</v>
      </c>
      <c r="H278" s="653">
        <v>0.16</v>
      </c>
      <c r="I278" s="653">
        <v>1.91</v>
      </c>
      <c r="J278" s="653">
        <v>0</v>
      </c>
      <c r="K278" s="651"/>
      <c r="L278" s="654"/>
      <c r="M278" s="651"/>
      <c r="N278" s="653"/>
      <c r="O278" s="651"/>
      <c r="P278" s="651"/>
    </row>
    <row r="279" spans="1:16" ht="18.75">
      <c r="A279" s="652">
        <v>275</v>
      </c>
      <c r="B279" s="651" t="s">
        <v>883</v>
      </c>
      <c r="C279" s="651" t="s">
        <v>1197</v>
      </c>
      <c r="D279" s="651">
        <v>1999</v>
      </c>
      <c r="E279" s="651">
        <v>10</v>
      </c>
      <c r="F279" s="651" t="s">
        <v>839</v>
      </c>
      <c r="G279" s="651">
        <v>18.6</v>
      </c>
      <c r="H279" s="653">
        <v>0.1</v>
      </c>
      <c r="I279" s="653">
        <v>1.28</v>
      </c>
      <c r="J279" s="653">
        <v>0</v>
      </c>
      <c r="K279" s="651"/>
      <c r="L279" s="651"/>
      <c r="M279" s="651"/>
      <c r="N279" s="651"/>
      <c r="O279" s="651"/>
      <c r="P279" s="651"/>
    </row>
    <row r="280" spans="1:16" ht="18.75">
      <c r="A280" s="652">
        <v>276</v>
      </c>
      <c r="B280" s="651" t="s">
        <v>1198</v>
      </c>
      <c r="C280" s="651" t="s">
        <v>1191</v>
      </c>
      <c r="D280" s="651">
        <v>1999</v>
      </c>
      <c r="E280" s="651">
        <v>10</v>
      </c>
      <c r="F280" s="651" t="s">
        <v>839</v>
      </c>
      <c r="G280" s="651">
        <v>18.6</v>
      </c>
      <c r="H280" s="653">
        <v>1.26</v>
      </c>
      <c r="I280" s="653">
        <v>15.17</v>
      </c>
      <c r="J280" s="653">
        <v>0</v>
      </c>
      <c r="K280" s="651"/>
      <c r="L280" s="651"/>
      <c r="M280" s="651"/>
      <c r="N280" s="651"/>
      <c r="O280" s="651"/>
      <c r="P280" s="651"/>
    </row>
    <row r="281" spans="1:16" ht="18.75">
      <c r="A281" s="652">
        <v>277</v>
      </c>
      <c r="B281" s="651" t="s">
        <v>975</v>
      </c>
      <c r="C281" s="651" t="s">
        <v>1193</v>
      </c>
      <c r="D281" s="651">
        <v>2006</v>
      </c>
      <c r="E281" s="651">
        <v>10</v>
      </c>
      <c r="F281" s="651" t="s">
        <v>839</v>
      </c>
      <c r="G281" s="651">
        <v>17.9</v>
      </c>
      <c r="H281" s="653">
        <v>0.43</v>
      </c>
      <c r="I281" s="653">
        <v>5.12</v>
      </c>
      <c r="J281" s="653">
        <v>6.38</v>
      </c>
      <c r="K281" s="651"/>
      <c r="L281" s="651"/>
      <c r="M281" s="651"/>
      <c r="N281" s="651"/>
      <c r="O281" s="651"/>
      <c r="P281" s="651"/>
    </row>
    <row r="282" spans="1:16" ht="18.75">
      <c r="A282" s="652">
        <v>278</v>
      </c>
      <c r="B282" s="651" t="s">
        <v>975</v>
      </c>
      <c r="C282" s="651" t="s">
        <v>1193</v>
      </c>
      <c r="D282" s="651">
        <v>2001</v>
      </c>
      <c r="E282" s="651">
        <v>10</v>
      </c>
      <c r="F282" s="651" t="s">
        <v>839</v>
      </c>
      <c r="G282" s="651">
        <v>17.9</v>
      </c>
      <c r="H282" s="653">
        <v>0.57</v>
      </c>
      <c r="I282" s="653">
        <v>6.83</v>
      </c>
      <c r="J282" s="653">
        <v>0</v>
      </c>
      <c r="K282" s="651"/>
      <c r="L282" s="651"/>
      <c r="M282" s="651"/>
      <c r="N282" s="651"/>
      <c r="O282" s="651"/>
      <c r="P282" s="651"/>
    </row>
    <row r="283" spans="1:16" ht="18.75">
      <c r="A283" s="652">
        <v>279</v>
      </c>
      <c r="B283" s="651" t="s">
        <v>834</v>
      </c>
      <c r="C283" s="651" t="s">
        <v>923</v>
      </c>
      <c r="D283" s="651">
        <v>1999</v>
      </c>
      <c r="E283" s="651">
        <v>10</v>
      </c>
      <c r="F283" s="651" t="s">
        <v>839</v>
      </c>
      <c r="G283" s="651">
        <v>26</v>
      </c>
      <c r="H283" s="653">
        <v>0</v>
      </c>
      <c r="I283" s="653">
        <v>0</v>
      </c>
      <c r="J283" s="653">
        <v>0</v>
      </c>
      <c r="K283" s="651"/>
      <c r="L283" s="651"/>
      <c r="M283" s="651"/>
      <c r="N283" s="651"/>
      <c r="O283" s="651"/>
      <c r="P283" s="651"/>
    </row>
    <row r="284" spans="1:16" ht="18.75">
      <c r="A284" s="652">
        <v>280</v>
      </c>
      <c r="B284" s="651" t="s">
        <v>834</v>
      </c>
      <c r="C284" s="651" t="s">
        <v>923</v>
      </c>
      <c r="D284" s="651">
        <v>1984</v>
      </c>
      <c r="E284" s="651">
        <v>10</v>
      </c>
      <c r="F284" s="651" t="s">
        <v>839</v>
      </c>
      <c r="G284" s="651">
        <v>26</v>
      </c>
      <c r="H284" s="653">
        <v>0.06</v>
      </c>
      <c r="I284" s="653">
        <v>0.65</v>
      </c>
      <c r="J284" s="653">
        <v>0</v>
      </c>
      <c r="K284" s="651"/>
      <c r="L284" s="651"/>
      <c r="M284" s="651"/>
      <c r="N284" s="651"/>
      <c r="O284" s="651"/>
      <c r="P284" s="651"/>
    </row>
    <row r="285" spans="1:16" ht="18.75">
      <c r="A285" s="652">
        <v>281</v>
      </c>
      <c r="B285" s="651" t="s">
        <v>834</v>
      </c>
      <c r="C285" s="651" t="s">
        <v>923</v>
      </c>
      <c r="D285" s="651">
        <v>1978</v>
      </c>
      <c r="E285" s="651">
        <v>10</v>
      </c>
      <c r="F285" s="651" t="s">
        <v>839</v>
      </c>
      <c r="G285" s="651">
        <v>26</v>
      </c>
      <c r="H285" s="653">
        <v>0</v>
      </c>
      <c r="I285" s="653">
        <v>0</v>
      </c>
      <c r="J285" s="653">
        <v>0</v>
      </c>
      <c r="K285" s="651"/>
      <c r="L285" s="651"/>
      <c r="M285" s="651"/>
      <c r="N285" s="653"/>
      <c r="O285" s="651"/>
      <c r="P285" s="653"/>
    </row>
    <row r="286" spans="1:16" ht="18.75">
      <c r="A286" s="652">
        <v>282</v>
      </c>
      <c r="B286" s="651" t="s">
        <v>834</v>
      </c>
      <c r="C286" s="651" t="s">
        <v>836</v>
      </c>
      <c r="D286" s="651">
        <v>1989</v>
      </c>
      <c r="E286" s="651">
        <v>10</v>
      </c>
      <c r="F286" s="651" t="s">
        <v>839</v>
      </c>
      <c r="G286" s="651">
        <v>26</v>
      </c>
      <c r="H286" s="653">
        <v>0.19</v>
      </c>
      <c r="I286" s="653">
        <v>2.33</v>
      </c>
      <c r="J286" s="653">
        <v>0</v>
      </c>
      <c r="K286" s="651"/>
      <c r="L286" s="651"/>
      <c r="M286" s="651"/>
      <c r="N286" s="651"/>
      <c r="O286" s="651"/>
      <c r="P286" s="651"/>
    </row>
    <row r="287" spans="1:16" ht="18.75">
      <c r="A287" s="652">
        <v>283</v>
      </c>
      <c r="B287" s="651" t="s">
        <v>875</v>
      </c>
      <c r="C287" s="651" t="s">
        <v>836</v>
      </c>
      <c r="D287" s="651">
        <v>1989</v>
      </c>
      <c r="E287" s="651">
        <v>10</v>
      </c>
      <c r="F287" s="651" t="s">
        <v>839</v>
      </c>
      <c r="G287" s="651">
        <v>27</v>
      </c>
      <c r="H287" s="653">
        <v>0.52</v>
      </c>
      <c r="I287" s="653">
        <v>6.27</v>
      </c>
      <c r="J287" s="653">
        <v>0</v>
      </c>
      <c r="K287" s="651"/>
      <c r="L287" s="651"/>
      <c r="M287" s="651"/>
      <c r="N287" s="651"/>
      <c r="O287" s="651"/>
      <c r="P287" s="651"/>
    </row>
    <row r="288" spans="1:16" ht="18.75">
      <c r="A288" s="652">
        <v>284</v>
      </c>
      <c r="B288" s="651" t="s">
        <v>875</v>
      </c>
      <c r="C288" s="651" t="s">
        <v>836</v>
      </c>
      <c r="D288" s="651">
        <v>1991</v>
      </c>
      <c r="E288" s="651">
        <v>10</v>
      </c>
      <c r="F288" s="651" t="s">
        <v>839</v>
      </c>
      <c r="G288" s="651">
        <v>27</v>
      </c>
      <c r="H288" s="653">
        <v>0.09</v>
      </c>
      <c r="I288" s="653">
        <v>1.07</v>
      </c>
      <c r="J288" s="653">
        <v>0</v>
      </c>
      <c r="K288" s="651"/>
      <c r="L288" s="651"/>
      <c r="M288" s="651"/>
      <c r="N288" s="651"/>
      <c r="O288" s="651"/>
      <c r="P288" s="651"/>
    </row>
    <row r="289" spans="1:16" ht="18.75">
      <c r="A289" s="652">
        <v>285</v>
      </c>
      <c r="B289" s="651" t="s">
        <v>850</v>
      </c>
      <c r="C289" s="651" t="s">
        <v>1199</v>
      </c>
      <c r="D289" s="651">
        <v>2006</v>
      </c>
      <c r="E289" s="651">
        <v>10</v>
      </c>
      <c r="F289" s="651" t="s">
        <v>839</v>
      </c>
      <c r="G289" s="651">
        <v>32</v>
      </c>
      <c r="H289" s="653">
        <v>0.57</v>
      </c>
      <c r="I289" s="653">
        <v>6.93</v>
      </c>
      <c r="J289" s="653">
        <v>83.62</v>
      </c>
      <c r="K289" s="651"/>
      <c r="L289" s="651"/>
      <c r="M289" s="651"/>
      <c r="N289" s="651"/>
      <c r="O289" s="651"/>
      <c r="P289" s="651"/>
    </row>
    <row r="290" spans="1:16" ht="18.75">
      <c r="A290" s="652">
        <v>286</v>
      </c>
      <c r="B290" s="651" t="s">
        <v>850</v>
      </c>
      <c r="C290" s="651" t="s">
        <v>836</v>
      </c>
      <c r="D290" s="651">
        <v>1992</v>
      </c>
      <c r="E290" s="651">
        <v>10</v>
      </c>
      <c r="F290" s="651" t="s">
        <v>839</v>
      </c>
      <c r="G290" s="651">
        <v>27</v>
      </c>
      <c r="H290" s="653">
        <v>0.1</v>
      </c>
      <c r="I290" s="653">
        <v>1.17</v>
      </c>
      <c r="J290" s="653">
        <v>0</v>
      </c>
      <c r="K290" s="651"/>
      <c r="L290" s="651"/>
      <c r="M290" s="651"/>
      <c r="N290" s="651"/>
      <c r="O290" s="651"/>
      <c r="P290" s="651"/>
    </row>
    <row r="291" spans="1:16" ht="37.5">
      <c r="A291" s="652">
        <v>287</v>
      </c>
      <c r="B291" s="651" t="s">
        <v>1200</v>
      </c>
      <c r="C291" s="651" t="s">
        <v>1191</v>
      </c>
      <c r="D291" s="651">
        <v>2009</v>
      </c>
      <c r="E291" s="651">
        <v>12</v>
      </c>
      <c r="F291" s="651" t="s">
        <v>839</v>
      </c>
      <c r="G291" s="651">
        <v>11.42</v>
      </c>
      <c r="H291" s="653">
        <v>1.16</v>
      </c>
      <c r="I291" s="653">
        <v>14.06</v>
      </c>
      <c r="J291" s="653">
        <v>63.44</v>
      </c>
      <c r="K291" s="651"/>
      <c r="L291" s="651"/>
      <c r="M291" s="651"/>
      <c r="N291" s="651"/>
      <c r="O291" s="651"/>
      <c r="P291" s="651"/>
    </row>
    <row r="292" spans="1:16" ht="18.75">
      <c r="A292" s="652">
        <v>288</v>
      </c>
      <c r="B292" s="651" t="s">
        <v>876</v>
      </c>
      <c r="C292" s="651" t="s">
        <v>912</v>
      </c>
      <c r="D292" s="651">
        <v>1987</v>
      </c>
      <c r="E292" s="651">
        <v>10</v>
      </c>
      <c r="F292" s="651" t="s">
        <v>839</v>
      </c>
      <c r="G292" s="651">
        <v>31</v>
      </c>
      <c r="H292" s="653">
        <v>0</v>
      </c>
      <c r="I292" s="653">
        <v>0</v>
      </c>
      <c r="J292" s="653">
        <v>0</v>
      </c>
      <c r="K292" s="651"/>
      <c r="L292" s="651"/>
      <c r="M292" s="651"/>
      <c r="N292" s="651"/>
      <c r="O292" s="651"/>
      <c r="P292" s="651"/>
    </row>
    <row r="293" spans="1:16" ht="18.75">
      <c r="A293" s="652">
        <v>289</v>
      </c>
      <c r="B293" s="651" t="s">
        <v>1201</v>
      </c>
      <c r="C293" s="651" t="s">
        <v>1202</v>
      </c>
      <c r="D293" s="651">
        <v>1992</v>
      </c>
      <c r="E293" s="651">
        <v>10</v>
      </c>
      <c r="F293" s="651" t="s">
        <v>839</v>
      </c>
      <c r="G293" s="651">
        <v>28</v>
      </c>
      <c r="H293" s="653">
        <v>0.05</v>
      </c>
      <c r="I293" s="653">
        <v>0.7</v>
      </c>
      <c r="J293" s="653">
        <v>0</v>
      </c>
      <c r="K293" s="651"/>
      <c r="L293" s="651"/>
      <c r="M293" s="651"/>
      <c r="N293" s="651"/>
      <c r="O293" s="651"/>
      <c r="P293" s="651"/>
    </row>
    <row r="294" spans="1:16" ht="18.75">
      <c r="A294" s="652">
        <v>290</v>
      </c>
      <c r="B294" s="651" t="s">
        <v>873</v>
      </c>
      <c r="C294" s="651" t="s">
        <v>1202</v>
      </c>
      <c r="D294" s="651">
        <v>1992</v>
      </c>
      <c r="E294" s="651">
        <v>10</v>
      </c>
      <c r="F294" s="651" t="s">
        <v>839</v>
      </c>
      <c r="G294" s="651">
        <v>28</v>
      </c>
      <c r="H294" s="653">
        <v>0</v>
      </c>
      <c r="I294" s="653">
        <v>0</v>
      </c>
      <c r="J294" s="653">
        <v>0</v>
      </c>
      <c r="K294" s="651"/>
      <c r="L294" s="651"/>
      <c r="M294" s="651"/>
      <c r="N294" s="651"/>
      <c r="O294" s="651"/>
      <c r="P294" s="651"/>
    </row>
    <row r="295" spans="1:16" ht="18.75">
      <c r="A295" s="652">
        <v>291</v>
      </c>
      <c r="B295" s="651" t="s">
        <v>1203</v>
      </c>
      <c r="C295" s="651" t="s">
        <v>879</v>
      </c>
      <c r="D295" s="651">
        <v>1992</v>
      </c>
      <c r="E295" s="651">
        <v>10</v>
      </c>
      <c r="F295" s="651" t="s">
        <v>839</v>
      </c>
      <c r="G295" s="651">
        <v>33</v>
      </c>
      <c r="H295" s="653">
        <v>0</v>
      </c>
      <c r="I295" s="653">
        <v>0</v>
      </c>
      <c r="J295" s="653">
        <v>0</v>
      </c>
      <c r="K295" s="651"/>
      <c r="L295" s="651"/>
      <c r="M295" s="651"/>
      <c r="N295" s="651"/>
      <c r="O295" s="651"/>
      <c r="P295" s="651"/>
    </row>
    <row r="296" spans="1:16" ht="18.75">
      <c r="A296" s="652">
        <v>292</v>
      </c>
      <c r="B296" s="651" t="s">
        <v>1204</v>
      </c>
      <c r="C296" s="651" t="s">
        <v>1205</v>
      </c>
      <c r="D296" s="651">
        <v>1991</v>
      </c>
      <c r="E296" s="651">
        <v>10</v>
      </c>
      <c r="F296" s="651" t="s">
        <v>839</v>
      </c>
      <c r="G296" s="651">
        <v>40.5</v>
      </c>
      <c r="H296" s="653">
        <v>0.13</v>
      </c>
      <c r="I296" s="653">
        <v>1.66</v>
      </c>
      <c r="J296" s="653">
        <v>0</v>
      </c>
      <c r="K296" s="651"/>
      <c r="L296" s="651"/>
      <c r="M296" s="651"/>
      <c r="N296" s="651"/>
      <c r="O296" s="651"/>
      <c r="P296" s="651"/>
    </row>
    <row r="297" spans="1:16" ht="18.75">
      <c r="A297" s="652">
        <v>293</v>
      </c>
      <c r="B297" s="651" t="s">
        <v>885</v>
      </c>
      <c r="C297" s="651" t="s">
        <v>1196</v>
      </c>
      <c r="D297" s="651">
        <v>2008</v>
      </c>
      <c r="E297" s="651">
        <v>10</v>
      </c>
      <c r="F297" s="651" t="s">
        <v>839</v>
      </c>
      <c r="G297" s="651">
        <v>17</v>
      </c>
      <c r="H297" s="653">
        <v>0.13</v>
      </c>
      <c r="I297" s="653">
        <v>1.61</v>
      </c>
      <c r="J297" s="653">
        <v>32.19</v>
      </c>
      <c r="K297" s="651"/>
      <c r="L297" s="651"/>
      <c r="M297" s="651"/>
      <c r="N297" s="651"/>
      <c r="O297" s="651"/>
      <c r="P297" s="651"/>
    </row>
    <row r="298" spans="1:16" ht="37.5">
      <c r="A298" s="652">
        <v>294</v>
      </c>
      <c r="B298" s="651" t="s">
        <v>1206</v>
      </c>
      <c r="C298" s="651" t="s">
        <v>1196</v>
      </c>
      <c r="D298" s="651">
        <v>1993</v>
      </c>
      <c r="E298" s="651">
        <v>10</v>
      </c>
      <c r="F298" s="651" t="s">
        <v>839</v>
      </c>
      <c r="G298" s="651">
        <v>17.6</v>
      </c>
      <c r="H298" s="653">
        <v>1.05</v>
      </c>
      <c r="I298" s="653">
        <v>12.06</v>
      </c>
      <c r="J298" s="653">
        <v>0</v>
      </c>
      <c r="K298" s="651"/>
      <c r="L298" s="651"/>
      <c r="M298" s="651"/>
      <c r="N298" s="651"/>
      <c r="O298" s="651"/>
      <c r="P298" s="651"/>
    </row>
    <row r="299" spans="1:16" ht="18.75">
      <c r="A299" s="652">
        <v>295</v>
      </c>
      <c r="B299" s="651" t="s">
        <v>1133</v>
      </c>
      <c r="C299" s="651" t="s">
        <v>912</v>
      </c>
      <c r="D299" s="651">
        <v>1991</v>
      </c>
      <c r="E299" s="651">
        <v>10</v>
      </c>
      <c r="F299" s="651" t="s">
        <v>839</v>
      </c>
      <c r="G299" s="651">
        <v>15.5</v>
      </c>
      <c r="H299" s="653">
        <v>0.88</v>
      </c>
      <c r="I299" s="653">
        <v>10.6</v>
      </c>
      <c r="J299" s="653">
        <v>0</v>
      </c>
      <c r="K299" s="651"/>
      <c r="L299" s="651"/>
      <c r="M299" s="651"/>
      <c r="N299" s="651"/>
      <c r="O299" s="651"/>
      <c r="P299" s="651"/>
    </row>
    <row r="300" spans="1:16" ht="18.75">
      <c r="A300" s="652">
        <v>296</v>
      </c>
      <c r="B300" s="651" t="s">
        <v>924</v>
      </c>
      <c r="C300" s="651" t="s">
        <v>1207</v>
      </c>
      <c r="D300" s="651">
        <v>2010</v>
      </c>
      <c r="E300" s="651">
        <v>10</v>
      </c>
      <c r="F300" s="651" t="s">
        <v>839</v>
      </c>
      <c r="G300" s="651">
        <v>22.4</v>
      </c>
      <c r="H300" s="653">
        <v>0.14</v>
      </c>
      <c r="I300" s="653">
        <v>1.69</v>
      </c>
      <c r="J300" s="653">
        <v>231.09</v>
      </c>
      <c r="K300" s="651"/>
      <c r="L300" s="654"/>
      <c r="M300" s="651"/>
      <c r="N300" s="653"/>
      <c r="O300" s="651"/>
      <c r="P300" s="651"/>
    </row>
    <row r="301" spans="1:16" ht="18.75">
      <c r="A301" s="652">
        <v>297</v>
      </c>
      <c r="B301" s="651" t="s">
        <v>924</v>
      </c>
      <c r="C301" s="651" t="s">
        <v>1199</v>
      </c>
      <c r="D301" s="651">
        <v>2012</v>
      </c>
      <c r="E301" s="651">
        <v>10</v>
      </c>
      <c r="F301" s="651" t="s">
        <v>839</v>
      </c>
      <c r="G301" s="651">
        <v>22.4</v>
      </c>
      <c r="H301" s="653">
        <v>0</v>
      </c>
      <c r="I301" s="653">
        <v>0</v>
      </c>
      <c r="J301" s="653">
        <v>366.4</v>
      </c>
      <c r="K301" s="651"/>
      <c r="L301" s="654"/>
      <c r="M301" s="651"/>
      <c r="N301" s="653"/>
      <c r="O301" s="651"/>
      <c r="P301" s="651"/>
    </row>
    <row r="302" spans="1:16" ht="18.75">
      <c r="A302" s="652">
        <v>298</v>
      </c>
      <c r="B302" s="651" t="s">
        <v>1208</v>
      </c>
      <c r="C302" s="651" t="s">
        <v>1209</v>
      </c>
      <c r="D302" s="651">
        <v>1987</v>
      </c>
      <c r="E302" s="651">
        <v>10</v>
      </c>
      <c r="F302" s="651" t="s">
        <v>839</v>
      </c>
      <c r="G302" s="651"/>
      <c r="H302" s="653">
        <v>0</v>
      </c>
      <c r="I302" s="653">
        <v>0</v>
      </c>
      <c r="J302" s="653">
        <v>0</v>
      </c>
      <c r="K302" s="651"/>
      <c r="L302" s="651"/>
      <c r="M302" s="651"/>
      <c r="N302" s="651"/>
      <c r="O302" s="651"/>
      <c r="P302" s="651"/>
    </row>
    <row r="303" spans="1:16" ht="18.75">
      <c r="A303" s="652">
        <v>299</v>
      </c>
      <c r="B303" s="651" t="s">
        <v>894</v>
      </c>
      <c r="C303" s="651" t="s">
        <v>893</v>
      </c>
      <c r="D303" s="651">
        <v>1986</v>
      </c>
      <c r="E303" s="651">
        <v>10</v>
      </c>
      <c r="F303" s="651" t="s">
        <v>839</v>
      </c>
      <c r="G303" s="651">
        <v>0</v>
      </c>
      <c r="H303" s="653">
        <v>0</v>
      </c>
      <c r="I303" s="653">
        <v>0</v>
      </c>
      <c r="J303" s="653">
        <v>0</v>
      </c>
      <c r="K303" s="651"/>
      <c r="L303" s="651"/>
      <c r="M303" s="651"/>
      <c r="N303" s="651"/>
      <c r="O303" s="651"/>
      <c r="P303" s="651"/>
    </row>
    <row r="304" spans="1:16" ht="18.75">
      <c r="A304" s="652">
        <v>300</v>
      </c>
      <c r="B304" s="651" t="s">
        <v>893</v>
      </c>
      <c r="C304" s="651" t="s">
        <v>893</v>
      </c>
      <c r="D304" s="651">
        <v>1988</v>
      </c>
      <c r="E304" s="651">
        <v>10</v>
      </c>
      <c r="F304" s="651" t="s">
        <v>839</v>
      </c>
      <c r="G304" s="651">
        <v>0</v>
      </c>
      <c r="H304" s="653">
        <v>0</v>
      </c>
      <c r="I304" s="653">
        <v>0</v>
      </c>
      <c r="J304" s="653">
        <v>0</v>
      </c>
      <c r="K304" s="651"/>
      <c r="L304" s="651"/>
      <c r="M304" s="651"/>
      <c r="N304" s="651"/>
      <c r="O304" s="651"/>
      <c r="P304" s="651"/>
    </row>
    <row r="305" spans="1:16" ht="18.75">
      <c r="A305" s="652">
        <v>301</v>
      </c>
      <c r="B305" s="651" t="s">
        <v>945</v>
      </c>
      <c r="C305" s="651" t="s">
        <v>1210</v>
      </c>
      <c r="D305" s="651">
        <v>1998</v>
      </c>
      <c r="E305" s="651">
        <v>10</v>
      </c>
      <c r="F305" s="651" t="s">
        <v>1211</v>
      </c>
      <c r="G305" s="651">
        <v>13.1</v>
      </c>
      <c r="H305" s="653"/>
      <c r="I305" s="653">
        <v>5.5</v>
      </c>
      <c r="J305" s="653">
        <v>0</v>
      </c>
      <c r="K305" s="651"/>
      <c r="L305" s="654"/>
      <c r="M305" s="654"/>
      <c r="N305" s="651"/>
      <c r="O305" s="651"/>
      <c r="P305" s="653"/>
    </row>
    <row r="306" spans="1:16" ht="18.75">
      <c r="A306" s="652">
        <v>302</v>
      </c>
      <c r="B306" s="651" t="s">
        <v>883</v>
      </c>
      <c r="C306" s="651" t="s">
        <v>859</v>
      </c>
      <c r="D306" s="651">
        <v>1996</v>
      </c>
      <c r="E306" s="651">
        <v>10</v>
      </c>
      <c r="F306" s="651" t="s">
        <v>1211</v>
      </c>
      <c r="G306" s="651">
        <v>18.6</v>
      </c>
      <c r="H306" s="653"/>
      <c r="I306" s="653">
        <v>8.5</v>
      </c>
      <c r="J306" s="653">
        <v>0</v>
      </c>
      <c r="K306" s="651"/>
      <c r="L306" s="654"/>
      <c r="M306" s="654"/>
      <c r="N306" s="655"/>
      <c r="O306" s="651"/>
      <c r="P306" s="653"/>
    </row>
    <row r="307" spans="1:16" ht="18.75">
      <c r="A307" s="652">
        <v>303</v>
      </c>
      <c r="B307" s="651" t="s">
        <v>858</v>
      </c>
      <c r="C307" s="651" t="s">
        <v>859</v>
      </c>
      <c r="D307" s="651">
        <v>1992</v>
      </c>
      <c r="E307" s="651">
        <v>10</v>
      </c>
      <c r="F307" s="651" t="s">
        <v>1211</v>
      </c>
      <c r="G307" s="651">
        <v>34</v>
      </c>
      <c r="H307" s="653"/>
      <c r="I307" s="653">
        <v>0</v>
      </c>
      <c r="J307" s="653">
        <v>0</v>
      </c>
      <c r="K307" s="651"/>
      <c r="L307" s="654"/>
      <c r="M307" s="651"/>
      <c r="N307" s="653"/>
      <c r="O307" s="651"/>
      <c r="P307" s="653"/>
    </row>
    <row r="308" spans="1:16" ht="18.75">
      <c r="A308" s="652">
        <v>304</v>
      </c>
      <c r="B308" s="651" t="s">
        <v>961</v>
      </c>
      <c r="C308" s="651" t="s">
        <v>1212</v>
      </c>
      <c r="D308" s="651">
        <v>1981</v>
      </c>
      <c r="E308" s="651">
        <v>10</v>
      </c>
      <c r="F308" s="651" t="s">
        <v>1211</v>
      </c>
      <c r="G308" s="651">
        <v>33.2</v>
      </c>
      <c r="H308" s="653"/>
      <c r="I308" s="653">
        <v>1</v>
      </c>
      <c r="J308" s="653">
        <v>0</v>
      </c>
      <c r="K308" s="651"/>
      <c r="L308" s="654"/>
      <c r="M308" s="651"/>
      <c r="N308" s="656"/>
      <c r="O308" s="651"/>
      <c r="P308" s="653"/>
    </row>
    <row r="309" spans="1:16" ht="18.75">
      <c r="A309" s="652">
        <v>305</v>
      </c>
      <c r="B309" s="651" t="s">
        <v>1213</v>
      </c>
      <c r="C309" s="651" t="s">
        <v>874</v>
      </c>
      <c r="D309" s="651">
        <v>1992</v>
      </c>
      <c r="E309" s="651">
        <v>10</v>
      </c>
      <c r="F309" s="651" t="s">
        <v>1211</v>
      </c>
      <c r="G309" s="651">
        <v>37</v>
      </c>
      <c r="H309" s="653"/>
      <c r="I309" s="653">
        <v>0</v>
      </c>
      <c r="J309" s="653">
        <v>0</v>
      </c>
      <c r="K309" s="651"/>
      <c r="L309" s="654"/>
      <c r="M309" s="654"/>
      <c r="N309" s="655"/>
      <c r="O309" s="651"/>
      <c r="P309" s="653"/>
    </row>
    <row r="310" spans="1:16" ht="18.75">
      <c r="A310" s="652">
        <v>306</v>
      </c>
      <c r="B310" s="651" t="s">
        <v>875</v>
      </c>
      <c r="C310" s="651" t="s">
        <v>874</v>
      </c>
      <c r="D310" s="651">
        <v>1982</v>
      </c>
      <c r="E310" s="651">
        <v>10</v>
      </c>
      <c r="F310" s="651" t="s">
        <v>1211</v>
      </c>
      <c r="G310" s="651">
        <v>28</v>
      </c>
      <c r="H310" s="653"/>
      <c r="I310" s="653">
        <v>0.8</v>
      </c>
      <c r="J310" s="653">
        <v>0</v>
      </c>
      <c r="K310" s="651"/>
      <c r="L310" s="654"/>
      <c r="M310" s="651"/>
      <c r="N310" s="653"/>
      <c r="O310" s="651"/>
      <c r="P310" s="651"/>
    </row>
    <row r="311" spans="1:16" ht="18.75">
      <c r="A311" s="652">
        <v>307</v>
      </c>
      <c r="B311" s="651" t="s">
        <v>975</v>
      </c>
      <c r="C311" s="651" t="s">
        <v>1214</v>
      </c>
      <c r="D311" s="651">
        <v>2004</v>
      </c>
      <c r="E311" s="651">
        <v>10</v>
      </c>
      <c r="F311" s="651" t="s">
        <v>1211</v>
      </c>
      <c r="G311" s="651">
        <v>16.2</v>
      </c>
      <c r="H311" s="653"/>
      <c r="I311" s="653">
        <v>1.9</v>
      </c>
      <c r="J311" s="653">
        <v>0</v>
      </c>
      <c r="K311" s="651"/>
      <c r="L311" s="654"/>
      <c r="M311" s="651"/>
      <c r="N311" s="655"/>
      <c r="O311" s="651"/>
      <c r="P311" s="651"/>
    </row>
    <row r="312" spans="1:16" ht="18.75">
      <c r="A312" s="652">
        <v>308</v>
      </c>
      <c r="B312" s="651" t="s">
        <v>883</v>
      </c>
      <c r="C312" s="651" t="s">
        <v>1215</v>
      </c>
      <c r="D312" s="651">
        <v>1999</v>
      </c>
      <c r="E312" s="651">
        <v>10</v>
      </c>
      <c r="F312" s="651" t="s">
        <v>1211</v>
      </c>
      <c r="G312" s="651">
        <v>16.8</v>
      </c>
      <c r="H312" s="653"/>
      <c r="I312" s="653">
        <v>2.1</v>
      </c>
      <c r="J312" s="653">
        <v>0</v>
      </c>
      <c r="K312" s="651"/>
      <c r="L312" s="654"/>
      <c r="M312" s="651"/>
      <c r="N312" s="653"/>
      <c r="O312" s="651"/>
      <c r="P312" s="651"/>
    </row>
    <row r="313" spans="1:16" ht="18.75">
      <c r="A313" s="652">
        <v>309</v>
      </c>
      <c r="B313" s="651" t="s">
        <v>1216</v>
      </c>
      <c r="C313" s="651" t="s">
        <v>931</v>
      </c>
      <c r="D313" s="651">
        <v>1988</v>
      </c>
      <c r="E313" s="651">
        <v>10</v>
      </c>
      <c r="F313" s="651" t="s">
        <v>1211</v>
      </c>
      <c r="G313" s="651">
        <v>35.5</v>
      </c>
      <c r="H313" s="653"/>
      <c r="I313" s="653">
        <v>15</v>
      </c>
      <c r="J313" s="653">
        <v>0</v>
      </c>
      <c r="K313" s="651"/>
      <c r="L313" s="654"/>
      <c r="M313" s="651"/>
      <c r="N313" s="653"/>
      <c r="O313" s="651"/>
      <c r="P313" s="651"/>
    </row>
    <row r="314" spans="1:16" ht="18.75">
      <c r="A314" s="652">
        <v>310</v>
      </c>
      <c r="B314" s="651" t="s">
        <v>1217</v>
      </c>
      <c r="C314" s="651" t="s">
        <v>851</v>
      </c>
      <c r="D314" s="651">
        <v>1985</v>
      </c>
      <c r="E314" s="651">
        <v>10</v>
      </c>
      <c r="F314" s="651" t="s">
        <v>1211</v>
      </c>
      <c r="G314" s="651">
        <v>28</v>
      </c>
      <c r="H314" s="653"/>
      <c r="I314" s="653">
        <v>0</v>
      </c>
      <c r="J314" s="653">
        <v>0</v>
      </c>
      <c r="K314" s="651"/>
      <c r="L314" s="654"/>
      <c r="M314" s="651"/>
      <c r="N314" s="653"/>
      <c r="O314" s="651"/>
      <c r="P314" s="651"/>
    </row>
    <row r="315" spans="1:16" ht="37.5">
      <c r="A315" s="652">
        <v>311</v>
      </c>
      <c r="B315" s="651" t="s">
        <v>1218</v>
      </c>
      <c r="C315" s="651" t="s">
        <v>931</v>
      </c>
      <c r="D315" s="651">
        <v>2006</v>
      </c>
      <c r="E315" s="651">
        <v>10</v>
      </c>
      <c r="F315" s="651" t="s">
        <v>1211</v>
      </c>
      <c r="G315" s="651" t="s">
        <v>1219</v>
      </c>
      <c r="H315" s="653"/>
      <c r="I315" s="653">
        <v>1.5</v>
      </c>
      <c r="J315" s="653">
        <v>240</v>
      </c>
      <c r="K315" s="651"/>
      <c r="L315" s="654"/>
      <c r="M315" s="651"/>
      <c r="N315" s="653"/>
      <c r="O315" s="651"/>
      <c r="P315" s="651"/>
    </row>
    <row r="316" spans="1:16" ht="18.75">
      <c r="A316" s="652">
        <v>312</v>
      </c>
      <c r="B316" s="651" t="s">
        <v>1198</v>
      </c>
      <c r="C316" s="651" t="s">
        <v>1220</v>
      </c>
      <c r="D316" s="651">
        <v>1999</v>
      </c>
      <c r="E316" s="651">
        <v>10</v>
      </c>
      <c r="F316" s="651" t="s">
        <v>1211</v>
      </c>
      <c r="G316" s="651">
        <v>18.6</v>
      </c>
      <c r="H316" s="653"/>
      <c r="I316" s="653">
        <v>5.9</v>
      </c>
      <c r="J316" s="653">
        <v>0</v>
      </c>
      <c r="K316" s="651"/>
      <c r="L316" s="654"/>
      <c r="M316" s="651"/>
      <c r="N316" s="653"/>
      <c r="O316" s="651"/>
      <c r="P316" s="651"/>
    </row>
    <row r="317" spans="1:16" ht="18.75">
      <c r="A317" s="652">
        <v>313</v>
      </c>
      <c r="B317" s="651" t="s">
        <v>918</v>
      </c>
      <c r="C317" s="651" t="s">
        <v>1221</v>
      </c>
      <c r="D317" s="651">
        <v>2000</v>
      </c>
      <c r="E317" s="651">
        <v>10</v>
      </c>
      <c r="F317" s="651" t="s">
        <v>1211</v>
      </c>
      <c r="G317" s="651">
        <v>16.7</v>
      </c>
      <c r="H317" s="653"/>
      <c r="I317" s="653">
        <v>17.7</v>
      </c>
      <c r="J317" s="653">
        <v>0</v>
      </c>
      <c r="K317" s="651"/>
      <c r="L317" s="654"/>
      <c r="M317" s="651"/>
      <c r="N317" s="653"/>
      <c r="O317" s="651"/>
      <c r="P317" s="651"/>
    </row>
    <row r="318" spans="1:16" ht="18.75">
      <c r="A318" s="652">
        <v>314</v>
      </c>
      <c r="B318" s="651" t="s">
        <v>918</v>
      </c>
      <c r="C318" s="651" t="s">
        <v>1210</v>
      </c>
      <c r="D318" s="651">
        <v>2004</v>
      </c>
      <c r="E318" s="651">
        <v>10</v>
      </c>
      <c r="F318" s="651" t="s">
        <v>1211</v>
      </c>
      <c r="G318" s="651">
        <v>16.7</v>
      </c>
      <c r="H318" s="653"/>
      <c r="I318" s="653">
        <v>1.1</v>
      </c>
      <c r="J318" s="653">
        <v>1</v>
      </c>
      <c r="K318" s="651"/>
      <c r="L318" s="654"/>
      <c r="M318" s="651"/>
      <c r="N318" s="653"/>
      <c r="O318" s="651"/>
      <c r="P318" s="651"/>
    </row>
    <row r="319" spans="1:16" ht="18.75">
      <c r="A319" s="652">
        <v>315</v>
      </c>
      <c r="B319" s="651" t="s">
        <v>855</v>
      </c>
      <c r="C319" s="651" t="s">
        <v>1222</v>
      </c>
      <c r="D319" s="651">
        <v>1999</v>
      </c>
      <c r="E319" s="651">
        <v>10</v>
      </c>
      <c r="F319" s="651" t="s">
        <v>1211</v>
      </c>
      <c r="G319" s="651">
        <v>17</v>
      </c>
      <c r="H319" s="653"/>
      <c r="I319" s="653">
        <v>5.6</v>
      </c>
      <c r="J319" s="653">
        <v>0</v>
      </c>
      <c r="K319" s="651"/>
      <c r="L319" s="654"/>
      <c r="M319" s="651"/>
      <c r="N319" s="653"/>
      <c r="O319" s="651"/>
      <c r="P319" s="651"/>
    </row>
    <row r="320" spans="1:16" ht="18.75">
      <c r="A320" s="652">
        <v>316</v>
      </c>
      <c r="B320" s="651" t="s">
        <v>855</v>
      </c>
      <c r="C320" s="651" t="s">
        <v>1222</v>
      </c>
      <c r="D320" s="651">
        <v>1999</v>
      </c>
      <c r="E320" s="651">
        <v>10</v>
      </c>
      <c r="F320" s="651" t="s">
        <v>1211</v>
      </c>
      <c r="G320" s="651">
        <v>17</v>
      </c>
      <c r="H320" s="653"/>
      <c r="I320" s="653">
        <v>8.5</v>
      </c>
      <c r="J320" s="653">
        <v>0</v>
      </c>
      <c r="K320" s="651"/>
      <c r="L320" s="654"/>
      <c r="M320" s="651"/>
      <c r="N320" s="653"/>
      <c r="O320" s="651"/>
      <c r="P320" s="651"/>
    </row>
    <row r="321" spans="1:16" ht="18.75">
      <c r="A321" s="652">
        <v>317</v>
      </c>
      <c r="B321" s="651" t="s">
        <v>883</v>
      </c>
      <c r="C321" s="651" t="s">
        <v>1223</v>
      </c>
      <c r="D321" s="651">
        <v>1999</v>
      </c>
      <c r="E321" s="651">
        <v>10</v>
      </c>
      <c r="F321" s="651" t="s">
        <v>1211</v>
      </c>
      <c r="G321" s="651">
        <v>17.2</v>
      </c>
      <c r="H321" s="653"/>
      <c r="I321" s="653">
        <v>3.6</v>
      </c>
      <c r="J321" s="653">
        <v>0</v>
      </c>
      <c r="K321" s="651"/>
      <c r="L321" s="654"/>
      <c r="M321" s="651"/>
      <c r="N321" s="653"/>
      <c r="O321" s="651"/>
      <c r="P321" s="651"/>
    </row>
    <row r="322" spans="1:16" ht="18.75">
      <c r="A322" s="652">
        <v>318</v>
      </c>
      <c r="B322" s="651" t="s">
        <v>928</v>
      </c>
      <c r="C322" s="651" t="s">
        <v>1224</v>
      </c>
      <c r="D322" s="651">
        <v>2003</v>
      </c>
      <c r="E322" s="651">
        <v>10</v>
      </c>
      <c r="F322" s="651" t="s">
        <v>1211</v>
      </c>
      <c r="G322" s="651">
        <v>17.2</v>
      </c>
      <c r="H322" s="653"/>
      <c r="I322" s="653">
        <v>4.9</v>
      </c>
      <c r="J322" s="653">
        <v>0</v>
      </c>
      <c r="K322" s="651"/>
      <c r="L322" s="651"/>
      <c r="M322" s="651"/>
      <c r="N322" s="651"/>
      <c r="O322" s="651"/>
      <c r="P322" s="651"/>
    </row>
    <row r="323" spans="1:16" ht="18.75">
      <c r="A323" s="652">
        <v>319</v>
      </c>
      <c r="B323" s="651" t="s">
        <v>928</v>
      </c>
      <c r="C323" s="651" t="s">
        <v>1224</v>
      </c>
      <c r="D323" s="651">
        <v>2004</v>
      </c>
      <c r="E323" s="651">
        <v>10</v>
      </c>
      <c r="F323" s="651" t="s">
        <v>1211</v>
      </c>
      <c r="G323" s="651">
        <v>17.2</v>
      </c>
      <c r="H323" s="653"/>
      <c r="I323" s="653">
        <v>0</v>
      </c>
      <c r="J323" s="653">
        <v>2.1</v>
      </c>
      <c r="K323" s="651"/>
      <c r="L323" s="651"/>
      <c r="M323" s="651"/>
      <c r="N323" s="651"/>
      <c r="O323" s="651"/>
      <c r="P323" s="651"/>
    </row>
    <row r="324" spans="1:16" ht="37.5">
      <c r="A324" s="652">
        <v>320</v>
      </c>
      <c r="B324" s="651" t="s">
        <v>1225</v>
      </c>
      <c r="C324" s="651" t="s">
        <v>1226</v>
      </c>
      <c r="D324" s="651">
        <v>2007</v>
      </c>
      <c r="E324" s="651">
        <v>10</v>
      </c>
      <c r="F324" s="651" t="s">
        <v>1211</v>
      </c>
      <c r="G324" s="651">
        <v>16</v>
      </c>
      <c r="H324" s="653"/>
      <c r="I324" s="653">
        <v>0.2</v>
      </c>
      <c r="J324" s="653">
        <v>310</v>
      </c>
      <c r="K324" s="651"/>
      <c r="L324" s="651"/>
      <c r="M324" s="651"/>
      <c r="N324" s="651"/>
      <c r="O324" s="651"/>
      <c r="P324" s="651"/>
    </row>
    <row r="325" spans="1:16" ht="18.75">
      <c r="A325" s="652">
        <v>321</v>
      </c>
      <c r="B325" s="651" t="s">
        <v>835</v>
      </c>
      <c r="C325" s="651" t="s">
        <v>1210</v>
      </c>
      <c r="D325" s="651">
        <v>1992</v>
      </c>
      <c r="E325" s="651">
        <v>10</v>
      </c>
      <c r="F325" s="651" t="s">
        <v>1211</v>
      </c>
      <c r="G325" s="651">
        <v>12.1</v>
      </c>
      <c r="H325" s="653"/>
      <c r="I325" s="653">
        <v>7.1</v>
      </c>
      <c r="J325" s="653">
        <v>0</v>
      </c>
      <c r="K325" s="667"/>
      <c r="L325" s="667"/>
      <c r="M325" s="667"/>
      <c r="N325" s="667"/>
      <c r="O325" s="667"/>
      <c r="P325" s="667"/>
    </row>
    <row r="326" spans="1:16" ht="18.75">
      <c r="A326" s="652">
        <v>322</v>
      </c>
      <c r="B326" s="651" t="s">
        <v>1227</v>
      </c>
      <c r="C326" s="651" t="s">
        <v>893</v>
      </c>
      <c r="D326" s="651">
        <v>1980</v>
      </c>
      <c r="E326" s="651">
        <v>10</v>
      </c>
      <c r="F326" s="651" t="s">
        <v>1211</v>
      </c>
      <c r="G326" s="651"/>
      <c r="H326" s="653"/>
      <c r="I326" s="653"/>
      <c r="J326" s="653"/>
      <c r="K326" s="651"/>
      <c r="L326" s="654"/>
      <c r="M326" s="651"/>
      <c r="N326" s="653"/>
      <c r="O326" s="651"/>
      <c r="P326" s="651"/>
    </row>
    <row r="327" spans="1:16" ht="37.5">
      <c r="A327" s="652">
        <v>323</v>
      </c>
      <c r="B327" s="652" t="s">
        <v>1228</v>
      </c>
      <c r="C327" s="651" t="s">
        <v>1229</v>
      </c>
      <c r="D327" s="651">
        <v>1998</v>
      </c>
      <c r="E327" s="651">
        <v>10</v>
      </c>
      <c r="F327" s="651" t="s">
        <v>1230</v>
      </c>
      <c r="G327" s="651">
        <v>9.1</v>
      </c>
      <c r="H327" s="653"/>
      <c r="I327" s="653">
        <v>8</v>
      </c>
      <c r="J327" s="653">
        <v>0</v>
      </c>
      <c r="K327" s="651"/>
      <c r="L327" s="654"/>
      <c r="M327" s="654"/>
      <c r="N327" s="651"/>
      <c r="O327" s="651"/>
      <c r="P327" s="653"/>
    </row>
    <row r="328" spans="1:16" ht="37.5">
      <c r="A328" s="652">
        <v>324</v>
      </c>
      <c r="B328" s="652" t="s">
        <v>1231</v>
      </c>
      <c r="C328" s="651" t="s">
        <v>1232</v>
      </c>
      <c r="D328" s="651">
        <v>1998</v>
      </c>
      <c r="E328" s="651">
        <v>10</v>
      </c>
      <c r="F328" s="651" t="s">
        <v>1230</v>
      </c>
      <c r="G328" s="651">
        <v>17</v>
      </c>
      <c r="H328" s="653"/>
      <c r="I328" s="653">
        <v>3.5</v>
      </c>
      <c r="J328" s="653">
        <v>0</v>
      </c>
      <c r="K328" s="651"/>
      <c r="L328" s="654"/>
      <c r="M328" s="654"/>
      <c r="N328" s="655"/>
      <c r="O328" s="651"/>
      <c r="P328" s="653"/>
    </row>
    <row r="329" spans="1:16" ht="37.5">
      <c r="A329" s="652">
        <v>325</v>
      </c>
      <c r="B329" s="652" t="s">
        <v>1233</v>
      </c>
      <c r="C329" s="651" t="s">
        <v>923</v>
      </c>
      <c r="D329" s="651">
        <v>1990</v>
      </c>
      <c r="E329" s="651">
        <v>10</v>
      </c>
      <c r="F329" s="651" t="s">
        <v>1230</v>
      </c>
      <c r="G329" s="651">
        <v>29.8</v>
      </c>
      <c r="H329" s="653"/>
      <c r="I329" s="653">
        <v>1</v>
      </c>
      <c r="J329" s="653">
        <v>0</v>
      </c>
      <c r="K329" s="651"/>
      <c r="L329" s="654"/>
      <c r="M329" s="651"/>
      <c r="N329" s="653"/>
      <c r="O329" s="651"/>
      <c r="P329" s="653"/>
    </row>
    <row r="330" spans="1:16" ht="37.5">
      <c r="A330" s="652">
        <v>326</v>
      </c>
      <c r="B330" s="652" t="s">
        <v>1234</v>
      </c>
      <c r="C330" s="651" t="s">
        <v>1232</v>
      </c>
      <c r="D330" s="651">
        <v>1998</v>
      </c>
      <c r="E330" s="651">
        <v>10</v>
      </c>
      <c r="F330" s="651" t="s">
        <v>1230</v>
      </c>
      <c r="G330" s="651">
        <v>16.3</v>
      </c>
      <c r="H330" s="653"/>
      <c r="I330" s="653">
        <v>2.5</v>
      </c>
      <c r="J330" s="653">
        <v>0</v>
      </c>
      <c r="K330" s="651"/>
      <c r="L330" s="654"/>
      <c r="M330" s="651"/>
      <c r="N330" s="656"/>
      <c r="O330" s="651"/>
      <c r="P330" s="653"/>
    </row>
    <row r="331" spans="1:16" ht="37.5">
      <c r="A331" s="652">
        <v>327</v>
      </c>
      <c r="B331" s="652" t="s">
        <v>1235</v>
      </c>
      <c r="C331" s="651" t="s">
        <v>1232</v>
      </c>
      <c r="D331" s="651">
        <v>2000</v>
      </c>
      <c r="E331" s="651">
        <v>10</v>
      </c>
      <c r="F331" s="651" t="s">
        <v>1230</v>
      </c>
      <c r="G331" s="651">
        <v>17</v>
      </c>
      <c r="H331" s="653"/>
      <c r="I331" s="653">
        <v>2.8</v>
      </c>
      <c r="J331" s="653">
        <v>0</v>
      </c>
      <c r="K331" s="651"/>
      <c r="L331" s="1411" t="s">
        <v>1344</v>
      </c>
      <c r="M331" s="1411" t="s">
        <v>2411</v>
      </c>
      <c r="N331" s="1411">
        <v>281.89</v>
      </c>
      <c r="O331" s="1411">
        <v>17</v>
      </c>
      <c r="P331" s="653"/>
    </row>
    <row r="332" spans="1:16" ht="37.5">
      <c r="A332" s="652">
        <v>328</v>
      </c>
      <c r="B332" s="652" t="s">
        <v>1236</v>
      </c>
      <c r="C332" s="651" t="s">
        <v>1237</v>
      </c>
      <c r="D332" s="651">
        <v>1976</v>
      </c>
      <c r="E332" s="651">
        <v>10</v>
      </c>
      <c r="F332" s="651" t="s">
        <v>1230</v>
      </c>
      <c r="G332" s="651">
        <v>40.1</v>
      </c>
      <c r="H332" s="653"/>
      <c r="I332" s="653">
        <v>0.4</v>
      </c>
      <c r="J332" s="653">
        <v>0</v>
      </c>
      <c r="K332" s="651"/>
      <c r="L332" s="654"/>
      <c r="M332" s="651"/>
      <c r="N332" s="653"/>
      <c r="O332" s="651"/>
      <c r="P332" s="651"/>
    </row>
    <row r="333" spans="1:16" ht="37.5">
      <c r="A333" s="652">
        <v>329</v>
      </c>
      <c r="B333" s="652" t="s">
        <v>1238</v>
      </c>
      <c r="C333" s="651" t="s">
        <v>1239</v>
      </c>
      <c r="D333" s="651">
        <v>1995</v>
      </c>
      <c r="E333" s="651">
        <v>10</v>
      </c>
      <c r="F333" s="651" t="s">
        <v>1230</v>
      </c>
      <c r="G333" s="651">
        <v>16.4</v>
      </c>
      <c r="H333" s="653"/>
      <c r="I333" s="653">
        <v>4.8</v>
      </c>
      <c r="J333" s="653">
        <v>0</v>
      </c>
      <c r="K333" s="651"/>
      <c r="L333" s="654"/>
      <c r="M333" s="651"/>
      <c r="N333" s="655"/>
      <c r="O333" s="651"/>
      <c r="P333" s="651"/>
    </row>
    <row r="334" spans="1:16" ht="37.5">
      <c r="A334" s="652">
        <v>330</v>
      </c>
      <c r="B334" s="652" t="s">
        <v>1240</v>
      </c>
      <c r="C334" s="651" t="s">
        <v>1241</v>
      </c>
      <c r="D334" s="651">
        <v>1991</v>
      </c>
      <c r="E334" s="651">
        <v>10</v>
      </c>
      <c r="F334" s="651" t="s">
        <v>1230</v>
      </c>
      <c r="G334" s="651">
        <v>25.8</v>
      </c>
      <c r="H334" s="653"/>
      <c r="I334" s="653">
        <v>5.4</v>
      </c>
      <c r="J334" s="653">
        <v>0</v>
      </c>
      <c r="K334" s="651"/>
      <c r="L334" s="654"/>
      <c r="M334" s="651"/>
      <c r="N334" s="653"/>
      <c r="O334" s="651"/>
      <c r="P334" s="651"/>
    </row>
    <row r="335" spans="1:16" ht="37.5">
      <c r="A335" s="652">
        <v>331</v>
      </c>
      <c r="B335" s="652" t="s">
        <v>1242</v>
      </c>
      <c r="C335" s="651" t="s">
        <v>1243</v>
      </c>
      <c r="D335" s="651">
        <v>1992</v>
      </c>
      <c r="E335" s="651">
        <v>10</v>
      </c>
      <c r="F335" s="651" t="s">
        <v>1230</v>
      </c>
      <c r="G335" s="651">
        <v>47.2</v>
      </c>
      <c r="H335" s="653"/>
      <c r="I335" s="653">
        <v>0.5</v>
      </c>
      <c r="J335" s="653">
        <v>0</v>
      </c>
      <c r="K335" s="651"/>
      <c r="L335" s="651"/>
      <c r="M335" s="651"/>
      <c r="N335" s="651"/>
      <c r="O335" s="651"/>
      <c r="P335" s="651"/>
    </row>
    <row r="336" spans="1:16" ht="37.5">
      <c r="A336" s="652">
        <v>332</v>
      </c>
      <c r="B336" s="652" t="s">
        <v>1244</v>
      </c>
      <c r="C336" s="651" t="s">
        <v>1245</v>
      </c>
      <c r="D336" s="651">
        <v>1992</v>
      </c>
      <c r="E336" s="651">
        <v>10</v>
      </c>
      <c r="F336" s="651" t="s">
        <v>1230</v>
      </c>
      <c r="G336" s="651">
        <v>32</v>
      </c>
      <c r="H336" s="653"/>
      <c r="I336" s="653">
        <v>0</v>
      </c>
      <c r="J336" s="653">
        <v>0</v>
      </c>
      <c r="K336" s="651"/>
      <c r="L336" s="651"/>
      <c r="M336" s="651"/>
      <c r="N336" s="651"/>
      <c r="O336" s="651"/>
      <c r="P336" s="651"/>
    </row>
    <row r="337" spans="1:16" ht="37.5">
      <c r="A337" s="652">
        <v>333</v>
      </c>
      <c r="B337" s="652" t="s">
        <v>1246</v>
      </c>
      <c r="C337" s="651" t="s">
        <v>1245</v>
      </c>
      <c r="D337" s="651">
        <v>1992</v>
      </c>
      <c r="E337" s="651">
        <v>10</v>
      </c>
      <c r="F337" s="651" t="s">
        <v>1230</v>
      </c>
      <c r="G337" s="651">
        <v>32</v>
      </c>
      <c r="H337" s="653"/>
      <c r="I337" s="653">
        <v>9.6</v>
      </c>
      <c r="J337" s="653">
        <v>0</v>
      </c>
      <c r="K337" s="651"/>
      <c r="L337" s="651"/>
      <c r="M337" s="651"/>
      <c r="N337" s="651"/>
      <c r="O337" s="651"/>
      <c r="P337" s="651"/>
    </row>
    <row r="338" spans="1:16" ht="56.25">
      <c r="A338" s="652">
        <v>334</v>
      </c>
      <c r="B338" s="652" t="s">
        <v>1247</v>
      </c>
      <c r="C338" s="651" t="s">
        <v>879</v>
      </c>
      <c r="D338" s="651">
        <v>1993</v>
      </c>
      <c r="E338" s="651">
        <v>10</v>
      </c>
      <c r="F338" s="651" t="s">
        <v>1230</v>
      </c>
      <c r="G338" s="651">
        <v>38.2</v>
      </c>
      <c r="H338" s="653"/>
      <c r="I338" s="653">
        <v>4.1</v>
      </c>
      <c r="J338" s="653">
        <v>0</v>
      </c>
      <c r="K338" s="651"/>
      <c r="L338" s="654" t="s">
        <v>2286</v>
      </c>
      <c r="M338" s="651" t="s">
        <v>841</v>
      </c>
      <c r="N338" s="655">
        <v>597.61</v>
      </c>
      <c r="O338" s="651">
        <v>23</v>
      </c>
      <c r="P338" s="651"/>
    </row>
    <row r="339" spans="1:16" ht="37.5">
      <c r="A339" s="652">
        <v>335</v>
      </c>
      <c r="B339" s="652" t="s">
        <v>1248</v>
      </c>
      <c r="C339" s="651" t="s">
        <v>1232</v>
      </c>
      <c r="D339" s="651">
        <v>2006</v>
      </c>
      <c r="E339" s="651">
        <v>10</v>
      </c>
      <c r="F339" s="651" t="s">
        <v>1230</v>
      </c>
      <c r="G339" s="651">
        <v>17</v>
      </c>
      <c r="H339" s="653"/>
      <c r="I339" s="653">
        <v>4.9</v>
      </c>
      <c r="J339" s="653">
        <v>11.33</v>
      </c>
      <c r="K339" s="651"/>
      <c r="L339" s="654"/>
      <c r="M339" s="651"/>
      <c r="N339" s="653"/>
      <c r="O339" s="651"/>
      <c r="P339" s="651"/>
    </row>
    <row r="340" spans="1:16" ht="37.5">
      <c r="A340" s="652">
        <v>336</v>
      </c>
      <c r="B340" s="652" t="s">
        <v>1249</v>
      </c>
      <c r="C340" s="651" t="s">
        <v>1229</v>
      </c>
      <c r="D340" s="651">
        <v>2007</v>
      </c>
      <c r="E340" s="651">
        <v>10</v>
      </c>
      <c r="F340" s="651" t="s">
        <v>1230</v>
      </c>
      <c r="G340" s="651">
        <v>7.6</v>
      </c>
      <c r="H340" s="653">
        <v>0.9</v>
      </c>
      <c r="I340" s="653">
        <v>7.7</v>
      </c>
      <c r="J340" s="653">
        <v>20.75</v>
      </c>
      <c r="K340" s="651"/>
      <c r="L340" s="654"/>
      <c r="M340" s="651"/>
      <c r="N340" s="653"/>
      <c r="O340" s="651"/>
      <c r="P340" s="651"/>
    </row>
    <row r="341" spans="1:16" ht="37.5">
      <c r="A341" s="652">
        <v>337</v>
      </c>
      <c r="B341" s="652" t="s">
        <v>1250</v>
      </c>
      <c r="C341" s="651" t="s">
        <v>849</v>
      </c>
      <c r="D341" s="651">
        <v>1987</v>
      </c>
      <c r="E341" s="651">
        <v>10</v>
      </c>
      <c r="F341" s="651" t="s">
        <v>1230</v>
      </c>
      <c r="G341" s="651">
        <v>15.5</v>
      </c>
      <c r="H341" s="653"/>
      <c r="I341" s="653">
        <v>4.9</v>
      </c>
      <c r="J341" s="653">
        <v>0</v>
      </c>
      <c r="K341" s="651"/>
      <c r="L341" s="654"/>
      <c r="M341" s="651"/>
      <c r="N341" s="653"/>
      <c r="O341" s="651"/>
      <c r="P341" s="651"/>
    </row>
    <row r="342" spans="1:16" ht="37.5">
      <c r="A342" s="652">
        <v>338</v>
      </c>
      <c r="B342" s="652" t="s">
        <v>1251</v>
      </c>
      <c r="C342" s="651" t="s">
        <v>1245</v>
      </c>
      <c r="D342" s="651">
        <v>1995</v>
      </c>
      <c r="E342" s="651">
        <v>10</v>
      </c>
      <c r="F342" s="651" t="s">
        <v>1230</v>
      </c>
      <c r="G342" s="651">
        <v>19.6</v>
      </c>
      <c r="H342" s="653"/>
      <c r="I342" s="653">
        <v>4.8</v>
      </c>
      <c r="J342" s="653">
        <v>0</v>
      </c>
      <c r="K342" s="651"/>
      <c r="L342" s="654"/>
      <c r="M342" s="651"/>
      <c r="N342" s="653"/>
      <c r="O342" s="651"/>
      <c r="P342" s="651"/>
    </row>
    <row r="343" spans="1:16" ht="37.5">
      <c r="A343" s="652">
        <v>339</v>
      </c>
      <c r="B343" s="652" t="s">
        <v>1252</v>
      </c>
      <c r="C343" s="651" t="s">
        <v>1253</v>
      </c>
      <c r="D343" s="651">
        <v>1987</v>
      </c>
      <c r="E343" s="651">
        <v>10</v>
      </c>
      <c r="F343" s="651" t="s">
        <v>1230</v>
      </c>
      <c r="G343" s="651">
        <v>15.5</v>
      </c>
      <c r="H343" s="653"/>
      <c r="I343" s="653">
        <v>16.1</v>
      </c>
      <c r="J343" s="653">
        <v>0</v>
      </c>
      <c r="K343" s="651"/>
      <c r="L343" s="654"/>
      <c r="M343" s="651"/>
      <c r="N343" s="653"/>
      <c r="O343" s="651"/>
      <c r="P343" s="651"/>
    </row>
    <row r="344" spans="1:16" ht="37.5">
      <c r="A344" s="652">
        <v>340</v>
      </c>
      <c r="B344" s="652" t="s">
        <v>1254</v>
      </c>
      <c r="C344" s="651" t="s">
        <v>1245</v>
      </c>
      <c r="D344" s="651">
        <v>1996</v>
      </c>
      <c r="E344" s="651">
        <v>10</v>
      </c>
      <c r="F344" s="651" t="s">
        <v>1230</v>
      </c>
      <c r="G344" s="651">
        <v>18.5</v>
      </c>
      <c r="H344" s="653"/>
      <c r="I344" s="653">
        <v>2.4</v>
      </c>
      <c r="J344" s="653">
        <v>0</v>
      </c>
      <c r="K344" s="651"/>
      <c r="L344" s="654"/>
      <c r="M344" s="651"/>
      <c r="N344" s="653"/>
      <c r="O344" s="651"/>
      <c r="P344" s="651"/>
    </row>
    <row r="345" spans="1:16" ht="37.5">
      <c r="A345" s="652">
        <v>341</v>
      </c>
      <c r="B345" s="652" t="s">
        <v>1255</v>
      </c>
      <c r="C345" s="651" t="s">
        <v>849</v>
      </c>
      <c r="D345" s="651">
        <v>1991</v>
      </c>
      <c r="E345" s="651">
        <v>10</v>
      </c>
      <c r="F345" s="651" t="s">
        <v>1230</v>
      </c>
      <c r="G345" s="651">
        <v>7.9</v>
      </c>
      <c r="H345" s="653"/>
      <c r="I345" s="653">
        <v>2.4</v>
      </c>
      <c r="J345" s="653">
        <v>0</v>
      </c>
      <c r="K345" s="651"/>
      <c r="L345" s="654"/>
      <c r="M345" s="651"/>
      <c r="N345" s="653"/>
      <c r="O345" s="651"/>
      <c r="P345" s="651"/>
    </row>
    <row r="346" spans="1:16" ht="37.5">
      <c r="A346" s="652">
        <v>342</v>
      </c>
      <c r="B346" s="652" t="s">
        <v>1256</v>
      </c>
      <c r="C346" s="651" t="s">
        <v>1245</v>
      </c>
      <c r="D346" s="651">
        <v>2007</v>
      </c>
      <c r="E346" s="651">
        <v>10</v>
      </c>
      <c r="F346" s="651" t="s">
        <v>1230</v>
      </c>
      <c r="G346" s="651">
        <v>28.3</v>
      </c>
      <c r="H346" s="653"/>
      <c r="I346" s="653">
        <v>4.2</v>
      </c>
      <c r="J346" s="653">
        <v>87.13</v>
      </c>
      <c r="K346" s="651"/>
      <c r="L346" s="654"/>
      <c r="M346" s="651"/>
      <c r="N346" s="653"/>
      <c r="O346" s="651"/>
      <c r="P346" s="651"/>
    </row>
    <row r="347" spans="1:16" ht="37.5">
      <c r="A347" s="652">
        <v>343</v>
      </c>
      <c r="B347" s="652" t="s">
        <v>1257</v>
      </c>
      <c r="C347" s="651" t="s">
        <v>1258</v>
      </c>
      <c r="D347" s="651">
        <v>2012</v>
      </c>
      <c r="E347" s="651">
        <v>10</v>
      </c>
      <c r="F347" s="651" t="s">
        <v>1230</v>
      </c>
      <c r="G347" s="651">
        <v>12.9</v>
      </c>
      <c r="H347" s="653"/>
      <c r="I347" s="653">
        <v>0</v>
      </c>
      <c r="J347" s="653">
        <v>158.68</v>
      </c>
      <c r="K347" s="651"/>
      <c r="L347" s="654"/>
      <c r="M347" s="651"/>
      <c r="N347" s="653"/>
      <c r="O347" s="651"/>
      <c r="P347" s="651"/>
    </row>
    <row r="348" spans="1:16" ht="37.5">
      <c r="A348" s="652">
        <v>344</v>
      </c>
      <c r="B348" s="652" t="s">
        <v>1259</v>
      </c>
      <c r="C348" s="651" t="s">
        <v>1260</v>
      </c>
      <c r="D348" s="651">
        <v>1988</v>
      </c>
      <c r="E348" s="651">
        <v>10</v>
      </c>
      <c r="F348" s="651" t="s">
        <v>1230</v>
      </c>
      <c r="G348" s="651">
        <v>3</v>
      </c>
      <c r="H348" s="653"/>
      <c r="I348" s="653">
        <v>0</v>
      </c>
      <c r="J348" s="653">
        <v>0</v>
      </c>
      <c r="K348" s="651"/>
      <c r="L348" s="654"/>
      <c r="M348" s="651"/>
      <c r="N348" s="653"/>
      <c r="O348" s="651"/>
      <c r="P348" s="651"/>
    </row>
    <row r="349" spans="1:16" ht="37.5">
      <c r="A349" s="652">
        <v>345</v>
      </c>
      <c r="B349" s="652" t="s">
        <v>1261</v>
      </c>
      <c r="C349" s="651" t="s">
        <v>1262</v>
      </c>
      <c r="D349" s="651">
        <v>1993</v>
      </c>
      <c r="E349" s="651">
        <v>10</v>
      </c>
      <c r="F349" s="651" t="s">
        <v>1230</v>
      </c>
      <c r="G349" s="651">
        <v>29.8</v>
      </c>
      <c r="H349" s="653"/>
      <c r="I349" s="653">
        <v>0</v>
      </c>
      <c r="J349" s="653">
        <v>0</v>
      </c>
      <c r="K349" s="651"/>
      <c r="L349" s="654"/>
      <c r="M349" s="651"/>
      <c r="N349" s="653"/>
      <c r="O349" s="651"/>
      <c r="P349" s="651"/>
    </row>
    <row r="350" spans="1:16" ht="37.5">
      <c r="A350" s="652">
        <v>346</v>
      </c>
      <c r="B350" s="652" t="s">
        <v>1263</v>
      </c>
      <c r="C350" s="651" t="s">
        <v>1264</v>
      </c>
      <c r="D350" s="651">
        <v>1992</v>
      </c>
      <c r="E350" s="651">
        <v>10</v>
      </c>
      <c r="F350" s="651" t="s">
        <v>1230</v>
      </c>
      <c r="G350" s="651">
        <v>9.9</v>
      </c>
      <c r="H350" s="653"/>
      <c r="I350" s="653">
        <v>0</v>
      </c>
      <c r="J350" s="653">
        <v>0</v>
      </c>
      <c r="K350" s="651"/>
      <c r="L350" s="668"/>
      <c r="M350" s="651"/>
      <c r="N350" s="653"/>
      <c r="O350" s="651"/>
      <c r="P350" s="651"/>
    </row>
    <row r="351" spans="1:16" ht="37.5">
      <c r="A351" s="652">
        <v>347</v>
      </c>
      <c r="B351" s="652" t="s">
        <v>1265</v>
      </c>
      <c r="C351" s="651" t="s">
        <v>1266</v>
      </c>
      <c r="D351" s="651">
        <v>1983</v>
      </c>
      <c r="E351" s="651">
        <v>10</v>
      </c>
      <c r="F351" s="651" t="s">
        <v>1230</v>
      </c>
      <c r="G351" s="651">
        <v>5.8</v>
      </c>
      <c r="H351" s="653"/>
      <c r="I351" s="653">
        <v>0</v>
      </c>
      <c r="J351" s="653">
        <v>0</v>
      </c>
      <c r="K351" s="651"/>
      <c r="L351" s="651"/>
      <c r="M351" s="651"/>
      <c r="N351" s="651"/>
      <c r="O351" s="651"/>
      <c r="P351" s="651"/>
    </row>
    <row r="352" spans="1:16" ht="37.5">
      <c r="A352" s="652">
        <v>348</v>
      </c>
      <c r="B352" s="652" t="s">
        <v>1267</v>
      </c>
      <c r="C352" s="651" t="s">
        <v>893</v>
      </c>
      <c r="D352" s="651">
        <v>1992</v>
      </c>
      <c r="E352" s="651">
        <v>10</v>
      </c>
      <c r="F352" s="651" t="s">
        <v>1230</v>
      </c>
      <c r="G352" s="651">
        <v>0</v>
      </c>
      <c r="H352" s="653">
        <v>0</v>
      </c>
      <c r="I352" s="653">
        <v>0</v>
      </c>
      <c r="J352" s="653">
        <v>0</v>
      </c>
      <c r="K352" s="651"/>
      <c r="L352" s="651"/>
      <c r="M352" s="651"/>
      <c r="N352" s="651"/>
      <c r="O352" s="651"/>
      <c r="P352" s="651"/>
    </row>
    <row r="353" spans="1:16" ht="37.5">
      <c r="A353" s="652">
        <v>349</v>
      </c>
      <c r="B353" s="652" t="s">
        <v>894</v>
      </c>
      <c r="C353" s="651" t="s">
        <v>893</v>
      </c>
      <c r="D353" s="651">
        <v>1991</v>
      </c>
      <c r="E353" s="651">
        <v>10</v>
      </c>
      <c r="F353" s="651" t="s">
        <v>1230</v>
      </c>
      <c r="G353" s="651">
        <v>0</v>
      </c>
      <c r="H353" s="653">
        <v>0</v>
      </c>
      <c r="I353" s="653">
        <v>0</v>
      </c>
      <c r="J353" s="653">
        <v>0</v>
      </c>
      <c r="K353" s="651"/>
      <c r="L353" s="651"/>
      <c r="M353" s="651"/>
      <c r="N353" s="651"/>
      <c r="O353" s="651"/>
      <c r="P353" s="651"/>
    </row>
    <row r="354" spans="1:16" ht="37.5">
      <c r="A354" s="652">
        <v>350</v>
      </c>
      <c r="B354" s="652" t="s">
        <v>1268</v>
      </c>
      <c r="C354" s="651" t="s">
        <v>1269</v>
      </c>
      <c r="D354" s="651">
        <v>1992</v>
      </c>
      <c r="E354" s="651">
        <v>10</v>
      </c>
      <c r="F354" s="651" t="s">
        <v>1230</v>
      </c>
      <c r="G354" s="651">
        <v>0</v>
      </c>
      <c r="H354" s="653">
        <v>0</v>
      </c>
      <c r="I354" s="653">
        <v>0</v>
      </c>
      <c r="J354" s="653">
        <v>0</v>
      </c>
      <c r="K354" s="651"/>
      <c r="L354" s="651"/>
      <c r="M354" s="651"/>
      <c r="N354" s="651"/>
      <c r="O354" s="651"/>
      <c r="P354" s="651"/>
    </row>
    <row r="355" spans="1:16" ht="37.5">
      <c r="A355" s="652">
        <v>351</v>
      </c>
      <c r="B355" s="652" t="s">
        <v>1270</v>
      </c>
      <c r="C355" s="651" t="s">
        <v>917</v>
      </c>
      <c r="D355" s="651">
        <v>1987</v>
      </c>
      <c r="E355" s="651">
        <v>10</v>
      </c>
      <c r="F355" s="651" t="s">
        <v>1230</v>
      </c>
      <c r="G355" s="651">
        <v>0</v>
      </c>
      <c r="H355" s="653">
        <v>0</v>
      </c>
      <c r="I355" s="653">
        <v>0</v>
      </c>
      <c r="J355" s="653">
        <v>0</v>
      </c>
      <c r="K355" s="651"/>
      <c r="L355" s="651"/>
      <c r="M355" s="651"/>
      <c r="N355" s="651"/>
      <c r="O355" s="651"/>
      <c r="P355" s="651"/>
    </row>
    <row r="356" spans="1:16" ht="56.25">
      <c r="A356" s="652">
        <v>352</v>
      </c>
      <c r="B356" s="669" t="s">
        <v>1271</v>
      </c>
      <c r="C356" s="669" t="s">
        <v>1272</v>
      </c>
      <c r="D356" s="669">
        <v>1991</v>
      </c>
      <c r="E356" s="651">
        <v>10</v>
      </c>
      <c r="F356" s="651" t="s">
        <v>1273</v>
      </c>
      <c r="G356" s="651" t="s">
        <v>1274</v>
      </c>
      <c r="H356" s="653"/>
      <c r="I356" s="653"/>
      <c r="J356" s="653">
        <v>0</v>
      </c>
      <c r="K356" s="651"/>
      <c r="L356" s="654"/>
      <c r="M356" s="654"/>
      <c r="N356" s="651"/>
      <c r="O356" s="651"/>
      <c r="P356" s="653"/>
    </row>
    <row r="357" spans="1:16" ht="56.25">
      <c r="A357" s="652">
        <v>353</v>
      </c>
      <c r="B357" s="669" t="s">
        <v>1275</v>
      </c>
      <c r="C357" s="669" t="s">
        <v>1272</v>
      </c>
      <c r="D357" s="669">
        <v>1990</v>
      </c>
      <c r="E357" s="651">
        <v>10</v>
      </c>
      <c r="F357" s="651" t="s">
        <v>1273</v>
      </c>
      <c r="G357" s="651" t="s">
        <v>1276</v>
      </c>
      <c r="H357" s="653">
        <v>1.39</v>
      </c>
      <c r="I357" s="653">
        <v>9.74</v>
      </c>
      <c r="J357" s="653">
        <v>0</v>
      </c>
      <c r="K357" s="651"/>
      <c r="L357" s="654"/>
      <c r="M357" s="654"/>
      <c r="N357" s="655"/>
      <c r="O357" s="651"/>
      <c r="P357" s="653"/>
    </row>
    <row r="358" spans="1:16" ht="56.25">
      <c r="A358" s="652">
        <v>354</v>
      </c>
      <c r="B358" s="669" t="s">
        <v>1277</v>
      </c>
      <c r="C358" s="669" t="s">
        <v>1278</v>
      </c>
      <c r="D358" s="669">
        <v>1999</v>
      </c>
      <c r="E358" s="651">
        <v>10</v>
      </c>
      <c r="F358" s="651" t="s">
        <v>1273</v>
      </c>
      <c r="G358" s="651" t="s">
        <v>1279</v>
      </c>
      <c r="H358" s="653"/>
      <c r="I358" s="653"/>
      <c r="J358" s="653">
        <v>0</v>
      </c>
      <c r="K358" s="651"/>
      <c r="L358" s="654"/>
      <c r="M358" s="651"/>
      <c r="N358" s="653"/>
      <c r="O358" s="651"/>
      <c r="P358" s="653"/>
    </row>
    <row r="359" spans="1:16" ht="56.25">
      <c r="A359" s="652">
        <v>355</v>
      </c>
      <c r="B359" s="669" t="s">
        <v>1280</v>
      </c>
      <c r="C359" s="669" t="s">
        <v>1281</v>
      </c>
      <c r="D359" s="669">
        <v>2006</v>
      </c>
      <c r="E359" s="651">
        <v>10</v>
      </c>
      <c r="F359" s="651" t="s">
        <v>1273</v>
      </c>
      <c r="G359" s="651" t="s">
        <v>1282</v>
      </c>
      <c r="H359" s="653"/>
      <c r="I359" s="653"/>
      <c r="J359" s="653">
        <v>47.6</v>
      </c>
      <c r="K359" s="651"/>
      <c r="L359" s="654"/>
      <c r="M359" s="651"/>
      <c r="N359" s="656"/>
      <c r="O359" s="651"/>
      <c r="P359" s="653"/>
    </row>
    <row r="360" spans="1:16" ht="37.5">
      <c r="A360" s="652">
        <v>356</v>
      </c>
      <c r="B360" s="669" t="s">
        <v>1283</v>
      </c>
      <c r="C360" s="669" t="s">
        <v>1284</v>
      </c>
      <c r="D360" s="669">
        <v>1992</v>
      </c>
      <c r="E360" s="651">
        <v>10</v>
      </c>
      <c r="F360" s="651" t="s">
        <v>1273</v>
      </c>
      <c r="G360" s="651">
        <v>0.25</v>
      </c>
      <c r="H360" s="653"/>
      <c r="I360" s="653"/>
      <c r="J360" s="653">
        <v>0</v>
      </c>
      <c r="K360" s="651"/>
      <c r="L360" s="654"/>
      <c r="M360" s="654"/>
      <c r="N360" s="655"/>
      <c r="O360" s="651"/>
      <c r="P360" s="653"/>
    </row>
    <row r="361" spans="1:16" ht="37.5">
      <c r="A361" s="652">
        <v>357</v>
      </c>
      <c r="B361" s="669" t="s">
        <v>873</v>
      </c>
      <c r="C361" s="670" t="s">
        <v>1285</v>
      </c>
      <c r="D361" s="669">
        <v>1992</v>
      </c>
      <c r="E361" s="651">
        <v>10</v>
      </c>
      <c r="F361" s="651" t="s">
        <v>1273</v>
      </c>
      <c r="G361" s="651">
        <v>0.25</v>
      </c>
      <c r="H361" s="653">
        <v>0.5</v>
      </c>
      <c r="I361" s="653">
        <v>5</v>
      </c>
      <c r="J361" s="653">
        <v>0</v>
      </c>
      <c r="K361" s="651"/>
      <c r="L361" s="654"/>
      <c r="M361" s="651"/>
      <c r="N361" s="653"/>
      <c r="O361" s="651"/>
      <c r="P361" s="651"/>
    </row>
    <row r="362" spans="1:16" ht="37.5">
      <c r="A362" s="652">
        <v>358</v>
      </c>
      <c r="B362" s="669" t="s">
        <v>876</v>
      </c>
      <c r="C362" s="652" t="s">
        <v>1286</v>
      </c>
      <c r="D362" s="669">
        <v>1992</v>
      </c>
      <c r="E362" s="651">
        <v>10</v>
      </c>
      <c r="F362" s="651" t="s">
        <v>1273</v>
      </c>
      <c r="G362" s="651" t="s">
        <v>1287</v>
      </c>
      <c r="H362" s="653">
        <v>0.5</v>
      </c>
      <c r="I362" s="653">
        <v>4</v>
      </c>
      <c r="J362" s="653">
        <v>0</v>
      </c>
      <c r="K362" s="651"/>
      <c r="L362" s="654"/>
      <c r="M362" s="651"/>
      <c r="N362" s="655"/>
      <c r="O362" s="651"/>
      <c r="P362" s="651"/>
    </row>
    <row r="363" spans="1:16" ht="37.5">
      <c r="A363" s="652">
        <v>359</v>
      </c>
      <c r="B363" s="669" t="s">
        <v>1288</v>
      </c>
      <c r="C363" s="669" t="s">
        <v>1289</v>
      </c>
      <c r="D363" s="669">
        <v>1992</v>
      </c>
      <c r="E363" s="651">
        <v>10</v>
      </c>
      <c r="F363" s="651" t="s">
        <v>1273</v>
      </c>
      <c r="G363" s="651">
        <v>0.24</v>
      </c>
      <c r="H363" s="653">
        <v>0.2</v>
      </c>
      <c r="I363" s="653">
        <v>3.47</v>
      </c>
      <c r="J363" s="653">
        <v>0</v>
      </c>
      <c r="K363" s="651"/>
      <c r="L363" s="654"/>
      <c r="M363" s="651"/>
      <c r="N363" s="655"/>
      <c r="O363" s="651"/>
      <c r="P363" s="651"/>
    </row>
    <row r="364" spans="1:16" ht="37.5">
      <c r="A364" s="652">
        <v>360</v>
      </c>
      <c r="B364" s="669" t="s">
        <v>1290</v>
      </c>
      <c r="C364" s="669" t="s">
        <v>1291</v>
      </c>
      <c r="D364" s="669">
        <v>1990</v>
      </c>
      <c r="E364" s="651">
        <v>10</v>
      </c>
      <c r="F364" s="651" t="s">
        <v>1273</v>
      </c>
      <c r="G364" s="651">
        <v>0.24</v>
      </c>
      <c r="H364" s="653">
        <v>0.1</v>
      </c>
      <c r="I364" s="653">
        <v>0.56</v>
      </c>
      <c r="J364" s="653">
        <v>0</v>
      </c>
      <c r="K364" s="651"/>
      <c r="L364" s="654"/>
      <c r="M364" s="651"/>
      <c r="N364" s="655"/>
      <c r="O364" s="651"/>
      <c r="P364" s="651"/>
    </row>
    <row r="365" spans="1:16" ht="37.5">
      <c r="A365" s="652">
        <v>361</v>
      </c>
      <c r="B365" s="669" t="s">
        <v>930</v>
      </c>
      <c r="C365" s="651" t="s">
        <v>1292</v>
      </c>
      <c r="D365" s="669">
        <v>1981</v>
      </c>
      <c r="E365" s="651">
        <v>10</v>
      </c>
      <c r="F365" s="651" t="s">
        <v>1273</v>
      </c>
      <c r="G365" s="651" t="s">
        <v>1293</v>
      </c>
      <c r="H365" s="653">
        <v>0.7</v>
      </c>
      <c r="I365" s="653">
        <v>0.5</v>
      </c>
      <c r="J365" s="653">
        <v>0</v>
      </c>
      <c r="K365" s="651"/>
      <c r="L365" s="654"/>
      <c r="M365" s="651"/>
      <c r="N365" s="655"/>
      <c r="O365" s="651"/>
      <c r="P365" s="651"/>
    </row>
    <row r="366" spans="1:16" ht="56.25">
      <c r="A366" s="652">
        <v>362</v>
      </c>
      <c r="B366" s="669" t="s">
        <v>1157</v>
      </c>
      <c r="C366" s="652" t="s">
        <v>1294</v>
      </c>
      <c r="D366" s="669">
        <v>2012</v>
      </c>
      <c r="E366" s="651">
        <v>10</v>
      </c>
      <c r="F366" s="651" t="s">
        <v>1273</v>
      </c>
      <c r="G366" s="651" t="s">
        <v>1295</v>
      </c>
      <c r="H366" s="653"/>
      <c r="I366" s="653"/>
      <c r="J366" s="653">
        <v>305.21</v>
      </c>
      <c r="K366" s="651"/>
      <c r="L366" s="654"/>
      <c r="M366" s="651"/>
      <c r="N366" s="655"/>
      <c r="O366" s="651"/>
      <c r="P366" s="651"/>
    </row>
    <row r="367" spans="1:16" ht="18.75">
      <c r="A367" s="652">
        <v>363</v>
      </c>
      <c r="B367" s="669" t="s">
        <v>855</v>
      </c>
      <c r="C367" s="669" t="s">
        <v>1296</v>
      </c>
      <c r="D367" s="669">
        <v>1998</v>
      </c>
      <c r="E367" s="651">
        <v>10</v>
      </c>
      <c r="F367" s="651" t="s">
        <v>1273</v>
      </c>
      <c r="G367" s="651">
        <v>18.3</v>
      </c>
      <c r="H367" s="653"/>
      <c r="I367" s="653"/>
      <c r="J367" s="653">
        <v>0</v>
      </c>
      <c r="K367" s="651"/>
      <c r="L367" s="654"/>
      <c r="M367" s="651"/>
      <c r="N367" s="655"/>
      <c r="O367" s="651"/>
      <c r="P367" s="651"/>
    </row>
    <row r="368" spans="1:16" ht="37.5">
      <c r="A368" s="652">
        <v>364</v>
      </c>
      <c r="B368" s="669" t="s">
        <v>855</v>
      </c>
      <c r="C368" s="669" t="s">
        <v>1297</v>
      </c>
      <c r="D368" s="669">
        <v>1999</v>
      </c>
      <c r="E368" s="651">
        <v>10</v>
      </c>
      <c r="F368" s="651" t="s">
        <v>1273</v>
      </c>
      <c r="G368" s="651">
        <v>18.3</v>
      </c>
      <c r="H368" s="653"/>
      <c r="I368" s="653"/>
      <c r="J368" s="653">
        <v>0</v>
      </c>
      <c r="K368" s="651"/>
      <c r="L368" s="654"/>
      <c r="M368" s="651"/>
      <c r="N368" s="655"/>
      <c r="O368" s="651"/>
      <c r="P368" s="651"/>
    </row>
    <row r="369" spans="1:16" ht="37.5">
      <c r="A369" s="652">
        <v>365</v>
      </c>
      <c r="B369" s="669" t="s">
        <v>1298</v>
      </c>
      <c r="C369" s="669" t="s">
        <v>1299</v>
      </c>
      <c r="D369" s="669">
        <v>1987</v>
      </c>
      <c r="E369" s="651">
        <v>10</v>
      </c>
      <c r="F369" s="651" t="s">
        <v>1273</v>
      </c>
      <c r="G369" s="651">
        <v>17.8</v>
      </c>
      <c r="H369" s="653"/>
      <c r="I369" s="653"/>
      <c r="J369" s="653">
        <v>0</v>
      </c>
      <c r="K369" s="651"/>
      <c r="L369" s="654"/>
      <c r="M369" s="651"/>
      <c r="N369" s="655"/>
      <c r="O369" s="651"/>
      <c r="P369" s="651"/>
    </row>
    <row r="370" spans="1:16" ht="37.5">
      <c r="A370" s="652">
        <v>366</v>
      </c>
      <c r="B370" s="669" t="s">
        <v>928</v>
      </c>
      <c r="C370" s="669" t="s">
        <v>1300</v>
      </c>
      <c r="D370" s="669">
        <v>2003</v>
      </c>
      <c r="E370" s="651">
        <v>10</v>
      </c>
      <c r="F370" s="651" t="s">
        <v>1273</v>
      </c>
      <c r="G370" s="651">
        <v>18</v>
      </c>
      <c r="H370" s="653">
        <v>0</v>
      </c>
      <c r="I370" s="653">
        <v>0</v>
      </c>
      <c r="J370" s="653">
        <v>0</v>
      </c>
      <c r="K370" s="651"/>
      <c r="L370" s="654"/>
      <c r="M370" s="651"/>
      <c r="N370" s="653"/>
      <c r="O370" s="651"/>
      <c r="P370" s="651"/>
    </row>
    <row r="371" spans="1:16" ht="18.75">
      <c r="A371" s="652">
        <v>367</v>
      </c>
      <c r="B371" s="669" t="s">
        <v>1301</v>
      </c>
      <c r="C371" s="669" t="s">
        <v>853</v>
      </c>
      <c r="D371" s="669">
        <v>1974</v>
      </c>
      <c r="E371" s="651">
        <v>10</v>
      </c>
      <c r="F371" s="651" t="s">
        <v>1273</v>
      </c>
      <c r="G371" s="651">
        <v>16</v>
      </c>
      <c r="H371" s="653">
        <v>0</v>
      </c>
      <c r="I371" s="653">
        <v>0</v>
      </c>
      <c r="J371" s="653">
        <v>0</v>
      </c>
      <c r="K371" s="651"/>
      <c r="L371" s="651"/>
      <c r="M371" s="651"/>
      <c r="N371" s="651"/>
      <c r="O371" s="651"/>
      <c r="P371" s="651"/>
    </row>
    <row r="372" spans="1:16" ht="18.75">
      <c r="A372" s="652">
        <v>368</v>
      </c>
      <c r="B372" s="669" t="s">
        <v>919</v>
      </c>
      <c r="C372" s="669" t="s">
        <v>853</v>
      </c>
      <c r="D372" s="651">
        <v>2000</v>
      </c>
      <c r="E372" s="651">
        <v>10</v>
      </c>
      <c r="F372" s="651" t="s">
        <v>1273</v>
      </c>
      <c r="G372" s="651">
        <v>0.83</v>
      </c>
      <c r="H372" s="653">
        <v>0.2</v>
      </c>
      <c r="I372" s="653">
        <v>0.4</v>
      </c>
      <c r="J372" s="653">
        <v>0</v>
      </c>
      <c r="K372" s="651"/>
      <c r="L372" s="651"/>
      <c r="M372" s="651"/>
      <c r="N372" s="651"/>
      <c r="O372" s="651"/>
      <c r="P372" s="651"/>
    </row>
    <row r="373" spans="1:16" ht="18.75">
      <c r="A373" s="652">
        <v>369</v>
      </c>
      <c r="B373" s="669" t="s">
        <v>1302</v>
      </c>
      <c r="C373" s="669" t="s">
        <v>853</v>
      </c>
      <c r="D373" s="651">
        <v>2007</v>
      </c>
      <c r="E373" s="651">
        <v>10</v>
      </c>
      <c r="F373" s="651" t="s">
        <v>1273</v>
      </c>
      <c r="G373" s="651">
        <v>11.9</v>
      </c>
      <c r="H373" s="653"/>
      <c r="I373" s="653"/>
      <c r="J373" s="653">
        <v>14.16</v>
      </c>
      <c r="K373" s="651"/>
      <c r="L373" s="651"/>
      <c r="M373" s="651"/>
      <c r="N373" s="651"/>
      <c r="O373" s="651"/>
      <c r="P373" s="651"/>
    </row>
    <row r="374" spans="1:16" ht="37.5">
      <c r="A374" s="652">
        <v>370</v>
      </c>
      <c r="B374" s="669" t="s">
        <v>1303</v>
      </c>
      <c r="C374" s="669" t="s">
        <v>1304</v>
      </c>
      <c r="D374" s="651">
        <v>1990</v>
      </c>
      <c r="E374" s="651">
        <v>10</v>
      </c>
      <c r="F374" s="651" t="s">
        <v>1273</v>
      </c>
      <c r="G374" s="651">
        <v>15</v>
      </c>
      <c r="H374" s="653">
        <v>0.8</v>
      </c>
      <c r="I374" s="653">
        <v>0.5</v>
      </c>
      <c r="J374" s="653">
        <v>0</v>
      </c>
      <c r="K374" s="651"/>
      <c r="L374" s="667"/>
      <c r="M374" s="667"/>
      <c r="N374" s="667"/>
      <c r="O374" s="667"/>
      <c r="P374" s="651"/>
    </row>
    <row r="375" spans="1:16" ht="18.75">
      <c r="A375" s="652">
        <v>371</v>
      </c>
      <c r="B375" s="669" t="s">
        <v>1305</v>
      </c>
      <c r="C375" s="669" t="s">
        <v>940</v>
      </c>
      <c r="D375" s="651">
        <v>1987</v>
      </c>
      <c r="E375" s="651">
        <v>10</v>
      </c>
      <c r="F375" s="651" t="s">
        <v>1273</v>
      </c>
      <c r="G375" s="651">
        <v>3.6</v>
      </c>
      <c r="H375" s="653">
        <v>0</v>
      </c>
      <c r="I375" s="653">
        <v>0</v>
      </c>
      <c r="J375" s="653">
        <v>0</v>
      </c>
      <c r="K375" s="651"/>
      <c r="L375" s="651"/>
      <c r="M375" s="651"/>
      <c r="N375" s="651"/>
      <c r="O375" s="651"/>
      <c r="P375" s="651"/>
    </row>
    <row r="376" spans="1:16" ht="56.25">
      <c r="A376" s="652">
        <v>372</v>
      </c>
      <c r="B376" s="669" t="s">
        <v>1306</v>
      </c>
      <c r="C376" s="669" t="s">
        <v>1307</v>
      </c>
      <c r="D376" s="651">
        <v>1991</v>
      </c>
      <c r="E376" s="651">
        <v>10</v>
      </c>
      <c r="F376" s="651" t="s">
        <v>1273</v>
      </c>
      <c r="G376" s="651">
        <v>3.5</v>
      </c>
      <c r="H376" s="653"/>
      <c r="I376" s="653"/>
      <c r="J376" s="653">
        <v>0</v>
      </c>
      <c r="K376" s="651"/>
      <c r="L376" s="651"/>
      <c r="M376" s="651"/>
      <c r="N376" s="651"/>
      <c r="O376" s="651"/>
      <c r="P376" s="651"/>
    </row>
    <row r="377" spans="1:16" ht="18.75">
      <c r="A377" s="652">
        <v>373</v>
      </c>
      <c r="B377" s="671" t="s">
        <v>1308</v>
      </c>
      <c r="C377" s="669" t="s">
        <v>1309</v>
      </c>
      <c r="D377" s="672">
        <v>1987</v>
      </c>
      <c r="E377" s="651">
        <v>10</v>
      </c>
      <c r="F377" s="651" t="s">
        <v>1273</v>
      </c>
      <c r="G377" s="651"/>
      <c r="H377" s="653"/>
      <c r="I377" s="653"/>
      <c r="J377" s="653">
        <v>0</v>
      </c>
      <c r="K377" s="651"/>
      <c r="L377" s="651"/>
      <c r="M377" s="651"/>
      <c r="N377" s="651"/>
      <c r="O377" s="651"/>
      <c r="P377" s="651"/>
    </row>
    <row r="378" spans="1:16" ht="18.75">
      <c r="A378" s="652">
        <v>374</v>
      </c>
      <c r="B378" s="671" t="s">
        <v>1308</v>
      </c>
      <c r="C378" s="669" t="s">
        <v>1309</v>
      </c>
      <c r="D378" s="672">
        <v>1988</v>
      </c>
      <c r="E378" s="651">
        <v>10</v>
      </c>
      <c r="F378" s="651" t="s">
        <v>1273</v>
      </c>
      <c r="G378" s="651"/>
      <c r="H378" s="653"/>
      <c r="I378" s="653"/>
      <c r="J378" s="653">
        <v>0</v>
      </c>
      <c r="K378" s="651"/>
      <c r="L378" s="651"/>
      <c r="M378" s="651"/>
      <c r="N378" s="651"/>
      <c r="O378" s="651"/>
      <c r="P378" s="651"/>
    </row>
    <row r="379" spans="1:16" ht="18.75">
      <c r="A379" s="652">
        <v>375</v>
      </c>
      <c r="B379" s="671" t="s">
        <v>1308</v>
      </c>
      <c r="C379" s="669" t="s">
        <v>942</v>
      </c>
      <c r="D379" s="672">
        <v>1992</v>
      </c>
      <c r="E379" s="651">
        <v>10</v>
      </c>
      <c r="F379" s="651" t="s">
        <v>1273</v>
      </c>
      <c r="G379" s="651"/>
      <c r="H379" s="653"/>
      <c r="I379" s="653"/>
      <c r="J379" s="653">
        <v>0</v>
      </c>
      <c r="K379" s="651"/>
      <c r="L379" s="651"/>
      <c r="M379" s="651"/>
      <c r="N379" s="651"/>
      <c r="O379" s="651"/>
      <c r="P379" s="651"/>
    </row>
    <row r="380" spans="1:16" ht="37.5">
      <c r="A380" s="652">
        <v>376</v>
      </c>
      <c r="B380" s="123" t="s">
        <v>961</v>
      </c>
      <c r="C380" s="123" t="s">
        <v>1310</v>
      </c>
      <c r="D380" s="124">
        <v>1990</v>
      </c>
      <c r="E380" s="651">
        <v>10</v>
      </c>
      <c r="F380" s="651" t="s">
        <v>328</v>
      </c>
      <c r="G380" s="651" t="s">
        <v>1311</v>
      </c>
      <c r="H380" s="653">
        <v>0.28</v>
      </c>
      <c r="I380" s="653">
        <v>2.62</v>
      </c>
      <c r="J380" s="653">
        <v>0</v>
      </c>
      <c r="K380" s="651"/>
      <c r="L380" s="654"/>
      <c r="M380" s="654"/>
      <c r="N380" s="651"/>
      <c r="O380" s="651"/>
      <c r="P380" s="653"/>
    </row>
    <row r="381" spans="1:16" ht="37.5">
      <c r="A381" s="652">
        <v>377</v>
      </c>
      <c r="B381" s="123" t="s">
        <v>924</v>
      </c>
      <c r="C381" s="123" t="s">
        <v>1312</v>
      </c>
      <c r="D381" s="124">
        <v>2008</v>
      </c>
      <c r="E381" s="651">
        <v>10</v>
      </c>
      <c r="F381" s="651" t="s">
        <v>328</v>
      </c>
      <c r="G381" s="651" t="s">
        <v>1313</v>
      </c>
      <c r="H381" s="653">
        <v>0.6</v>
      </c>
      <c r="I381" s="653">
        <v>7.22</v>
      </c>
      <c r="J381" s="653">
        <v>12.96</v>
      </c>
      <c r="K381" s="651"/>
      <c r="L381" s="654"/>
      <c r="M381" s="654"/>
      <c r="N381" s="655"/>
      <c r="O381" s="651"/>
      <c r="P381" s="653"/>
    </row>
    <row r="382" spans="1:16" ht="37.5">
      <c r="A382" s="652">
        <v>378</v>
      </c>
      <c r="B382" s="123" t="s">
        <v>876</v>
      </c>
      <c r="C382" s="123" t="s">
        <v>1314</v>
      </c>
      <c r="D382" s="124">
        <v>1989</v>
      </c>
      <c r="E382" s="651">
        <v>10</v>
      </c>
      <c r="F382" s="651" t="s">
        <v>328</v>
      </c>
      <c r="G382" s="651" t="s">
        <v>1315</v>
      </c>
      <c r="H382" s="653">
        <v>0.13</v>
      </c>
      <c r="I382" s="653">
        <v>1.59</v>
      </c>
      <c r="J382" s="653">
        <v>0</v>
      </c>
      <c r="K382" s="651"/>
      <c r="L382" s="654"/>
      <c r="M382" s="651"/>
      <c r="N382" s="653"/>
      <c r="O382" s="651"/>
      <c r="P382" s="653"/>
    </row>
    <row r="383" spans="1:16" ht="37.5">
      <c r="A383" s="652">
        <v>379</v>
      </c>
      <c r="B383" s="123" t="s">
        <v>1316</v>
      </c>
      <c r="C383" s="123" t="s">
        <v>1317</v>
      </c>
      <c r="D383" s="124">
        <v>1988</v>
      </c>
      <c r="E383" s="651">
        <v>10</v>
      </c>
      <c r="F383" s="651" t="s">
        <v>328</v>
      </c>
      <c r="G383" s="651">
        <v>27.3</v>
      </c>
      <c r="H383" s="653">
        <v>0.07</v>
      </c>
      <c r="I383" s="653">
        <v>0.93</v>
      </c>
      <c r="J383" s="653">
        <v>0</v>
      </c>
      <c r="K383" s="651"/>
      <c r="L383" s="654"/>
      <c r="M383" s="651"/>
      <c r="N383" s="656"/>
      <c r="O383" s="651"/>
      <c r="P383" s="653"/>
    </row>
    <row r="384" spans="1:16" ht="37.5">
      <c r="A384" s="652">
        <v>380</v>
      </c>
      <c r="B384" s="123" t="s">
        <v>924</v>
      </c>
      <c r="C384" s="123" t="s">
        <v>1312</v>
      </c>
      <c r="D384" s="124">
        <v>1997</v>
      </c>
      <c r="E384" s="651">
        <v>10</v>
      </c>
      <c r="F384" s="651" t="s">
        <v>328</v>
      </c>
      <c r="G384" s="651">
        <v>23.1</v>
      </c>
      <c r="H384" s="653">
        <v>0.58</v>
      </c>
      <c r="I384" s="653">
        <v>7.01</v>
      </c>
      <c r="J384" s="653">
        <v>0</v>
      </c>
      <c r="K384" s="651"/>
      <c r="L384" s="654"/>
      <c r="M384" s="654"/>
      <c r="N384" s="655"/>
      <c r="O384" s="651"/>
      <c r="P384" s="653"/>
    </row>
    <row r="385" spans="1:16" ht="37.5">
      <c r="A385" s="652">
        <v>381</v>
      </c>
      <c r="B385" s="123" t="s">
        <v>834</v>
      </c>
      <c r="C385" s="123" t="s">
        <v>1318</v>
      </c>
      <c r="D385" s="124">
        <v>1990</v>
      </c>
      <c r="E385" s="651">
        <v>10</v>
      </c>
      <c r="F385" s="651" t="s">
        <v>328</v>
      </c>
      <c r="G385" s="651">
        <v>26.2</v>
      </c>
      <c r="H385" s="653">
        <v>0.44</v>
      </c>
      <c r="I385" s="653">
        <v>5.32</v>
      </c>
      <c r="J385" s="653">
        <v>0</v>
      </c>
      <c r="K385" s="651"/>
      <c r="L385" s="654"/>
      <c r="M385" s="123"/>
      <c r="N385" s="653"/>
      <c r="O385" s="651"/>
      <c r="P385" s="651"/>
    </row>
    <row r="386" spans="1:16" ht="37.5">
      <c r="A386" s="652">
        <v>382</v>
      </c>
      <c r="B386" s="123" t="s">
        <v>834</v>
      </c>
      <c r="C386" s="123" t="s">
        <v>1318</v>
      </c>
      <c r="D386" s="124">
        <v>1987</v>
      </c>
      <c r="E386" s="651">
        <v>10</v>
      </c>
      <c r="F386" s="651" t="s">
        <v>328</v>
      </c>
      <c r="G386" s="651">
        <v>26.2</v>
      </c>
      <c r="H386" s="653">
        <v>0</v>
      </c>
      <c r="I386" s="653">
        <v>0</v>
      </c>
      <c r="J386" s="653">
        <v>0</v>
      </c>
      <c r="K386" s="651"/>
      <c r="L386" s="654"/>
      <c r="M386" s="123"/>
      <c r="N386" s="655"/>
      <c r="O386" s="651"/>
      <c r="P386" s="651"/>
    </row>
    <row r="387" spans="1:16" ht="37.5">
      <c r="A387" s="652">
        <v>383</v>
      </c>
      <c r="B387" s="123" t="s">
        <v>883</v>
      </c>
      <c r="C387" s="123" t="s">
        <v>1319</v>
      </c>
      <c r="D387" s="124">
        <v>1998</v>
      </c>
      <c r="E387" s="651">
        <v>10</v>
      </c>
      <c r="F387" s="651" t="s">
        <v>328</v>
      </c>
      <c r="G387" s="651">
        <v>19.5</v>
      </c>
      <c r="H387" s="653">
        <v>0.34</v>
      </c>
      <c r="I387" s="653">
        <v>4.1</v>
      </c>
      <c r="J387" s="653">
        <v>0</v>
      </c>
      <c r="K387" s="651"/>
      <c r="L387" s="654"/>
      <c r="M387" s="651"/>
      <c r="N387" s="653"/>
      <c r="O387" s="651"/>
      <c r="P387" s="651"/>
    </row>
    <row r="388" spans="1:16" ht="37.5">
      <c r="A388" s="652">
        <v>384</v>
      </c>
      <c r="B388" s="123" t="s">
        <v>1320</v>
      </c>
      <c r="C388" s="123" t="s">
        <v>1321</v>
      </c>
      <c r="D388" s="124">
        <v>1991</v>
      </c>
      <c r="E388" s="651">
        <v>10</v>
      </c>
      <c r="F388" s="651" t="s">
        <v>328</v>
      </c>
      <c r="G388" s="651">
        <v>12</v>
      </c>
      <c r="H388" s="653">
        <v>0.08</v>
      </c>
      <c r="I388" s="653">
        <v>0.97</v>
      </c>
      <c r="J388" s="653">
        <v>0</v>
      </c>
      <c r="K388" s="651"/>
      <c r="L388" s="651"/>
      <c r="M388" s="651"/>
      <c r="N388" s="651"/>
      <c r="O388" s="651"/>
      <c r="P388" s="651"/>
    </row>
    <row r="389" spans="1:16" ht="37.5">
      <c r="A389" s="652">
        <v>385</v>
      </c>
      <c r="B389" s="123" t="s">
        <v>1194</v>
      </c>
      <c r="C389" s="123" t="s">
        <v>861</v>
      </c>
      <c r="D389" s="124">
        <v>2005</v>
      </c>
      <c r="E389" s="651">
        <v>10</v>
      </c>
      <c r="F389" s="651" t="s">
        <v>328</v>
      </c>
      <c r="G389" s="651">
        <v>16.7</v>
      </c>
      <c r="H389" s="653">
        <v>0.2</v>
      </c>
      <c r="I389" s="653">
        <v>2.42</v>
      </c>
      <c r="J389" s="653">
        <v>2.87</v>
      </c>
      <c r="K389" s="651"/>
      <c r="L389" s="651"/>
      <c r="M389" s="651"/>
      <c r="N389" s="651"/>
      <c r="O389" s="651"/>
      <c r="P389" s="651"/>
    </row>
    <row r="390" spans="1:16" ht="37.5">
      <c r="A390" s="652">
        <v>386</v>
      </c>
      <c r="B390" s="123" t="s">
        <v>1112</v>
      </c>
      <c r="C390" s="123" t="s">
        <v>861</v>
      </c>
      <c r="D390" s="124">
        <v>1996</v>
      </c>
      <c r="E390" s="651">
        <v>10</v>
      </c>
      <c r="F390" s="651" t="s">
        <v>328</v>
      </c>
      <c r="G390" s="651">
        <v>10.2</v>
      </c>
      <c r="H390" s="653">
        <v>0.15</v>
      </c>
      <c r="I390" s="653">
        <v>1.8</v>
      </c>
      <c r="J390" s="653">
        <v>0</v>
      </c>
      <c r="K390" s="651"/>
      <c r="L390" s="651"/>
      <c r="M390" s="651"/>
      <c r="N390" s="651"/>
      <c r="O390" s="651"/>
      <c r="P390" s="651"/>
    </row>
    <row r="391" spans="1:16" ht="37.5">
      <c r="A391" s="652">
        <v>387</v>
      </c>
      <c r="B391" s="123" t="s">
        <v>975</v>
      </c>
      <c r="C391" s="123" t="s">
        <v>1322</v>
      </c>
      <c r="D391" s="124">
        <v>1999</v>
      </c>
      <c r="E391" s="651">
        <v>10</v>
      </c>
      <c r="F391" s="651" t="s">
        <v>328</v>
      </c>
      <c r="G391" s="651">
        <v>19.2</v>
      </c>
      <c r="H391" s="653">
        <v>0.22</v>
      </c>
      <c r="I391" s="653">
        <v>2.66</v>
      </c>
      <c r="J391" s="653">
        <v>0</v>
      </c>
      <c r="K391" s="651"/>
      <c r="L391" s="654"/>
      <c r="M391" s="651"/>
      <c r="N391" s="653"/>
      <c r="O391" s="651"/>
      <c r="P391" s="651"/>
    </row>
    <row r="392" spans="1:16" ht="37.5">
      <c r="A392" s="652">
        <v>388</v>
      </c>
      <c r="B392" s="123" t="s">
        <v>975</v>
      </c>
      <c r="C392" s="123" t="s">
        <v>1323</v>
      </c>
      <c r="D392" s="124">
        <v>2000</v>
      </c>
      <c r="E392" s="651">
        <v>10</v>
      </c>
      <c r="F392" s="651" t="s">
        <v>328</v>
      </c>
      <c r="G392" s="651">
        <v>19.2</v>
      </c>
      <c r="H392" s="653">
        <v>0.34</v>
      </c>
      <c r="I392" s="653">
        <v>4.1</v>
      </c>
      <c r="J392" s="653">
        <v>0</v>
      </c>
      <c r="K392" s="651"/>
      <c r="L392" s="654"/>
      <c r="M392" s="651"/>
      <c r="N392" s="653"/>
      <c r="O392" s="651"/>
      <c r="P392" s="651"/>
    </row>
    <row r="393" spans="1:16" ht="37.5">
      <c r="A393" s="652">
        <v>389</v>
      </c>
      <c r="B393" s="123" t="s">
        <v>855</v>
      </c>
      <c r="C393" s="123" t="s">
        <v>1183</v>
      </c>
      <c r="D393" s="124">
        <v>1998</v>
      </c>
      <c r="E393" s="651">
        <v>10</v>
      </c>
      <c r="F393" s="651" t="s">
        <v>328</v>
      </c>
      <c r="G393" s="651">
        <v>18.5</v>
      </c>
      <c r="H393" s="653">
        <v>0.49</v>
      </c>
      <c r="I393" s="653">
        <v>5.88</v>
      </c>
      <c r="J393" s="653">
        <v>0</v>
      </c>
      <c r="K393" s="651"/>
      <c r="L393" s="654"/>
      <c r="M393" s="651"/>
      <c r="N393" s="653"/>
      <c r="O393" s="651"/>
      <c r="P393" s="651"/>
    </row>
    <row r="394" spans="1:16" ht="37.5">
      <c r="A394" s="652">
        <v>390</v>
      </c>
      <c r="B394" s="123" t="s">
        <v>855</v>
      </c>
      <c r="C394" s="123" t="s">
        <v>1323</v>
      </c>
      <c r="D394" s="124">
        <v>1999</v>
      </c>
      <c r="E394" s="651">
        <v>10</v>
      </c>
      <c r="F394" s="651" t="s">
        <v>328</v>
      </c>
      <c r="G394" s="651">
        <v>18.2</v>
      </c>
      <c r="H394" s="653">
        <v>0.45</v>
      </c>
      <c r="I394" s="653">
        <v>5.48</v>
      </c>
      <c r="J394" s="653">
        <v>0</v>
      </c>
      <c r="K394" s="651"/>
      <c r="L394" s="1411" t="s">
        <v>1344</v>
      </c>
      <c r="M394" s="1411" t="s">
        <v>2411</v>
      </c>
      <c r="N394" s="1411">
        <v>281.89</v>
      </c>
      <c r="O394" s="1411">
        <v>17</v>
      </c>
      <c r="P394" s="651"/>
    </row>
    <row r="395" spans="1:16" ht="37.5">
      <c r="A395" s="652">
        <v>391</v>
      </c>
      <c r="B395" s="123" t="s">
        <v>876</v>
      </c>
      <c r="C395" s="123" t="s">
        <v>1324</v>
      </c>
      <c r="D395" s="124">
        <v>1992</v>
      </c>
      <c r="E395" s="651">
        <v>10</v>
      </c>
      <c r="F395" s="651" t="s">
        <v>328</v>
      </c>
      <c r="G395" s="651">
        <v>32.7</v>
      </c>
      <c r="H395" s="653">
        <v>0</v>
      </c>
      <c r="I395" s="653">
        <v>0</v>
      </c>
      <c r="J395" s="653">
        <v>0</v>
      </c>
      <c r="K395" s="651"/>
      <c r="L395" s="654"/>
      <c r="M395" s="651"/>
      <c r="N395" s="653"/>
      <c r="O395" s="651"/>
      <c r="P395" s="651"/>
    </row>
    <row r="396" spans="1:16" ht="37.5">
      <c r="A396" s="652">
        <v>392</v>
      </c>
      <c r="B396" s="123" t="s">
        <v>1325</v>
      </c>
      <c r="C396" s="123" t="s">
        <v>1174</v>
      </c>
      <c r="D396" s="124">
        <v>1974</v>
      </c>
      <c r="E396" s="651">
        <v>10</v>
      </c>
      <c r="F396" s="651" t="s">
        <v>328</v>
      </c>
      <c r="G396" s="651">
        <v>29.4</v>
      </c>
      <c r="H396" s="653">
        <v>0</v>
      </c>
      <c r="I396" s="653">
        <v>0</v>
      </c>
      <c r="J396" s="653">
        <v>0</v>
      </c>
      <c r="K396" s="651"/>
      <c r="L396" s="123"/>
      <c r="M396" s="123"/>
      <c r="N396" s="653"/>
      <c r="O396" s="651"/>
      <c r="P396" s="651"/>
    </row>
    <row r="397" spans="1:16" ht="37.5">
      <c r="A397" s="652">
        <v>393</v>
      </c>
      <c r="B397" s="123" t="s">
        <v>889</v>
      </c>
      <c r="C397" s="123" t="s">
        <v>1326</v>
      </c>
      <c r="D397" s="124">
        <v>1983</v>
      </c>
      <c r="E397" s="651">
        <v>10</v>
      </c>
      <c r="F397" s="651" t="s">
        <v>328</v>
      </c>
      <c r="G397" s="651">
        <v>8</v>
      </c>
      <c r="H397" s="653">
        <v>0</v>
      </c>
      <c r="I397" s="653">
        <v>0</v>
      </c>
      <c r="J397" s="653">
        <v>0</v>
      </c>
      <c r="K397" s="651"/>
      <c r="L397" s="654"/>
      <c r="M397" s="651"/>
      <c r="N397" s="653"/>
      <c r="O397" s="651"/>
      <c r="P397" s="651"/>
    </row>
    <row r="398" spans="1:16" ht="37.5">
      <c r="A398" s="652">
        <v>394</v>
      </c>
      <c r="B398" s="123" t="s">
        <v>891</v>
      </c>
      <c r="C398" s="123" t="s">
        <v>1326</v>
      </c>
      <c r="D398" s="124">
        <v>1988</v>
      </c>
      <c r="E398" s="651">
        <v>10</v>
      </c>
      <c r="F398" s="651" t="s">
        <v>328</v>
      </c>
      <c r="G398" s="651">
        <v>4.5</v>
      </c>
      <c r="H398" s="653">
        <v>0</v>
      </c>
      <c r="I398" s="653">
        <v>0</v>
      </c>
      <c r="J398" s="653">
        <v>0</v>
      </c>
      <c r="K398" s="651"/>
      <c r="L398" s="651"/>
      <c r="M398" s="651"/>
      <c r="N398" s="651"/>
      <c r="O398" s="651"/>
      <c r="P398" s="651"/>
    </row>
    <row r="399" spans="1:16" ht="37.5">
      <c r="A399" s="652">
        <v>395</v>
      </c>
      <c r="B399" s="123" t="s">
        <v>894</v>
      </c>
      <c r="C399" s="123" t="s">
        <v>893</v>
      </c>
      <c r="D399" s="124">
        <v>1981</v>
      </c>
      <c r="E399" s="651">
        <v>10</v>
      </c>
      <c r="F399" s="651" t="s">
        <v>328</v>
      </c>
      <c r="G399" s="651">
        <v>0</v>
      </c>
      <c r="H399" s="653">
        <v>0</v>
      </c>
      <c r="I399" s="653">
        <v>0</v>
      </c>
      <c r="J399" s="653">
        <v>0</v>
      </c>
      <c r="K399" s="651"/>
      <c r="L399" s="651"/>
      <c r="M399" s="651"/>
      <c r="N399" s="651"/>
      <c r="O399" s="651"/>
      <c r="P399" s="651"/>
    </row>
    <row r="400" spans="1:16" ht="37.5">
      <c r="A400" s="652">
        <v>396</v>
      </c>
      <c r="B400" s="123" t="s">
        <v>1270</v>
      </c>
      <c r="C400" s="123" t="s">
        <v>1327</v>
      </c>
      <c r="D400" s="124">
        <v>1988</v>
      </c>
      <c r="E400" s="651">
        <v>10</v>
      </c>
      <c r="F400" s="651" t="s">
        <v>328</v>
      </c>
      <c r="G400" s="651">
        <v>0</v>
      </c>
      <c r="H400" s="653">
        <v>0</v>
      </c>
      <c r="I400" s="653">
        <v>0</v>
      </c>
      <c r="J400" s="653">
        <v>0</v>
      </c>
      <c r="K400" s="651"/>
      <c r="L400" s="651"/>
      <c r="M400" s="651"/>
      <c r="N400" s="651"/>
      <c r="O400" s="651"/>
      <c r="P400" s="651"/>
    </row>
    <row r="401" spans="1:16" ht="18.75">
      <c r="A401" s="652">
        <v>397</v>
      </c>
      <c r="B401" s="651" t="s">
        <v>1328</v>
      </c>
      <c r="C401" s="651" t="s">
        <v>1329</v>
      </c>
      <c r="D401" s="651">
        <v>2009</v>
      </c>
      <c r="E401" s="651">
        <v>10</v>
      </c>
      <c r="F401" s="651" t="s">
        <v>1330</v>
      </c>
      <c r="G401" s="651">
        <v>6</v>
      </c>
      <c r="H401" s="653">
        <v>0.56</v>
      </c>
      <c r="I401" s="653">
        <v>6.8</v>
      </c>
      <c r="J401" s="653">
        <v>0</v>
      </c>
      <c r="K401" s="651"/>
      <c r="L401" s="654"/>
      <c r="M401" s="654"/>
      <c r="N401" s="651"/>
      <c r="O401" s="651"/>
      <c r="P401" s="653"/>
    </row>
    <row r="402" spans="1:16" ht="18.75">
      <c r="A402" s="652">
        <v>398</v>
      </c>
      <c r="B402" s="651" t="s">
        <v>850</v>
      </c>
      <c r="C402" s="651" t="s">
        <v>838</v>
      </c>
      <c r="D402" s="651">
        <v>1992</v>
      </c>
      <c r="E402" s="651">
        <v>10</v>
      </c>
      <c r="F402" s="651" t="s">
        <v>1330</v>
      </c>
      <c r="G402" s="651">
        <v>26.2</v>
      </c>
      <c r="H402" s="653">
        <v>0</v>
      </c>
      <c r="I402" s="653">
        <v>0</v>
      </c>
      <c r="J402" s="653">
        <v>0</v>
      </c>
      <c r="K402" s="651"/>
      <c r="L402" s="654"/>
      <c r="M402" s="654"/>
      <c r="N402" s="655"/>
      <c r="O402" s="651"/>
      <c r="P402" s="653"/>
    </row>
    <row r="403" spans="1:16" ht="18.75">
      <c r="A403" s="652">
        <v>399</v>
      </c>
      <c r="B403" s="651" t="s">
        <v>924</v>
      </c>
      <c r="C403" s="651" t="s">
        <v>836</v>
      </c>
      <c r="D403" s="651">
        <v>1995</v>
      </c>
      <c r="E403" s="651">
        <v>10</v>
      </c>
      <c r="F403" s="651" t="s">
        <v>1330</v>
      </c>
      <c r="G403" s="651">
        <v>18.2</v>
      </c>
      <c r="H403" s="653">
        <v>0.42</v>
      </c>
      <c r="I403" s="653">
        <v>4.96</v>
      </c>
      <c r="J403" s="653">
        <v>0</v>
      </c>
      <c r="K403" s="651"/>
      <c r="L403" s="654"/>
      <c r="M403" s="651"/>
      <c r="N403" s="653"/>
      <c r="O403" s="651"/>
      <c r="P403" s="653"/>
    </row>
    <row r="404" spans="1:16" ht="18.75">
      <c r="A404" s="652">
        <v>400</v>
      </c>
      <c r="B404" s="651" t="s">
        <v>924</v>
      </c>
      <c r="C404" s="651" t="s">
        <v>1331</v>
      </c>
      <c r="D404" s="651">
        <v>2007</v>
      </c>
      <c r="E404" s="651">
        <v>10</v>
      </c>
      <c r="F404" s="651" t="s">
        <v>1330</v>
      </c>
      <c r="G404" s="651">
        <v>22</v>
      </c>
      <c r="H404" s="653">
        <v>1.4</v>
      </c>
      <c r="I404" s="653">
        <v>5</v>
      </c>
      <c r="J404" s="653">
        <v>16.73</v>
      </c>
      <c r="K404" s="651"/>
      <c r="L404" s="654"/>
      <c r="M404" s="651"/>
      <c r="N404" s="656"/>
      <c r="O404" s="651"/>
      <c r="P404" s="653"/>
    </row>
    <row r="405" spans="1:16" ht="18.75">
      <c r="A405" s="652">
        <v>401</v>
      </c>
      <c r="B405" s="651" t="s">
        <v>883</v>
      </c>
      <c r="C405" s="651" t="s">
        <v>997</v>
      </c>
      <c r="D405" s="651">
        <v>1995</v>
      </c>
      <c r="E405" s="651">
        <v>10</v>
      </c>
      <c r="F405" s="651" t="s">
        <v>1330</v>
      </c>
      <c r="G405" s="651">
        <v>16.9</v>
      </c>
      <c r="H405" s="653">
        <v>0.3</v>
      </c>
      <c r="I405" s="653">
        <v>3.64</v>
      </c>
      <c r="J405" s="653">
        <v>0</v>
      </c>
      <c r="K405" s="651"/>
      <c r="L405" s="654"/>
      <c r="M405" s="654"/>
      <c r="N405" s="655"/>
      <c r="O405" s="651"/>
      <c r="P405" s="653"/>
    </row>
    <row r="406" spans="1:16" ht="18.75">
      <c r="A406" s="652">
        <v>402</v>
      </c>
      <c r="B406" s="651" t="s">
        <v>883</v>
      </c>
      <c r="C406" s="651" t="s">
        <v>1332</v>
      </c>
      <c r="D406" s="651">
        <v>1995</v>
      </c>
      <c r="E406" s="651">
        <v>10</v>
      </c>
      <c r="F406" s="651" t="s">
        <v>1330</v>
      </c>
      <c r="G406" s="651">
        <v>16.9</v>
      </c>
      <c r="H406" s="653">
        <v>18</v>
      </c>
      <c r="I406" s="653">
        <v>2.1</v>
      </c>
      <c r="J406" s="653">
        <v>0</v>
      </c>
      <c r="K406" s="651"/>
      <c r="L406" s="654"/>
      <c r="M406" s="651"/>
      <c r="N406" s="653"/>
      <c r="O406" s="651"/>
      <c r="P406" s="651"/>
    </row>
    <row r="407" spans="1:16" ht="18.75">
      <c r="A407" s="652">
        <v>403</v>
      </c>
      <c r="B407" s="651" t="s">
        <v>948</v>
      </c>
      <c r="C407" s="651" t="s">
        <v>1333</v>
      </c>
      <c r="D407" s="651">
        <v>1999</v>
      </c>
      <c r="E407" s="651">
        <v>10</v>
      </c>
      <c r="F407" s="651" t="s">
        <v>1330</v>
      </c>
      <c r="G407" s="651">
        <v>20.4</v>
      </c>
      <c r="H407" s="653">
        <v>0.1</v>
      </c>
      <c r="I407" s="653">
        <v>1.08</v>
      </c>
      <c r="J407" s="653">
        <v>0</v>
      </c>
      <c r="K407" s="651"/>
      <c r="L407" s="654"/>
      <c r="M407" s="651"/>
      <c r="N407" s="655"/>
      <c r="O407" s="651"/>
      <c r="P407" s="651"/>
    </row>
    <row r="408" spans="1:16" ht="18.75">
      <c r="A408" s="652">
        <v>404</v>
      </c>
      <c r="B408" s="651" t="s">
        <v>918</v>
      </c>
      <c r="C408" s="651" t="s">
        <v>1329</v>
      </c>
      <c r="D408" s="651">
        <v>1999</v>
      </c>
      <c r="E408" s="651">
        <v>10</v>
      </c>
      <c r="F408" s="651" t="s">
        <v>1330</v>
      </c>
      <c r="G408" s="651">
        <v>17.5</v>
      </c>
      <c r="H408" s="653">
        <v>0.08</v>
      </c>
      <c r="I408" s="653">
        <v>0.7</v>
      </c>
      <c r="J408" s="653">
        <v>0</v>
      </c>
      <c r="K408" s="651"/>
      <c r="L408" s="654"/>
      <c r="M408" s="651"/>
      <c r="N408" s="653"/>
      <c r="O408" s="651"/>
      <c r="P408" s="651"/>
    </row>
    <row r="409" spans="1:16" ht="18.75">
      <c r="A409" s="652">
        <v>405</v>
      </c>
      <c r="B409" s="651" t="s">
        <v>831</v>
      </c>
      <c r="C409" s="651" t="s">
        <v>1334</v>
      </c>
      <c r="D409" s="651">
        <v>1999</v>
      </c>
      <c r="E409" s="651">
        <v>10</v>
      </c>
      <c r="F409" s="651" t="s">
        <v>1330</v>
      </c>
      <c r="G409" s="651">
        <v>15</v>
      </c>
      <c r="H409" s="653">
        <v>0.94</v>
      </c>
      <c r="I409" s="653">
        <v>11.35</v>
      </c>
      <c r="J409" s="653">
        <v>0</v>
      </c>
      <c r="K409" s="651"/>
      <c r="L409" s="651"/>
      <c r="M409" s="651"/>
      <c r="N409" s="651"/>
      <c r="O409" s="651"/>
      <c r="P409" s="651"/>
    </row>
    <row r="410" spans="1:16" ht="18.75">
      <c r="A410" s="652">
        <v>406</v>
      </c>
      <c r="B410" s="651" t="s">
        <v>1335</v>
      </c>
      <c r="C410" s="651" t="s">
        <v>1336</v>
      </c>
      <c r="D410" s="651">
        <v>2000</v>
      </c>
      <c r="E410" s="651">
        <v>10</v>
      </c>
      <c r="F410" s="651" t="s">
        <v>1330</v>
      </c>
      <c r="G410" s="651">
        <v>4.8</v>
      </c>
      <c r="H410" s="653">
        <v>0</v>
      </c>
      <c r="I410" s="653">
        <v>0</v>
      </c>
      <c r="J410" s="653">
        <v>0</v>
      </c>
      <c r="K410" s="651"/>
      <c r="L410" s="651"/>
      <c r="M410" s="651"/>
      <c r="N410" s="651"/>
      <c r="O410" s="651"/>
      <c r="P410" s="651"/>
    </row>
    <row r="411" spans="1:16" ht="18.75">
      <c r="A411" s="652">
        <v>407</v>
      </c>
      <c r="B411" s="651" t="s">
        <v>889</v>
      </c>
      <c r="C411" s="651" t="s">
        <v>1336</v>
      </c>
      <c r="D411" s="651">
        <v>1980</v>
      </c>
      <c r="E411" s="651">
        <v>10</v>
      </c>
      <c r="F411" s="651" t="s">
        <v>1330</v>
      </c>
      <c r="G411" s="651">
        <v>4.8</v>
      </c>
      <c r="H411" s="653">
        <v>0</v>
      </c>
      <c r="I411" s="653">
        <v>0</v>
      </c>
      <c r="J411" s="653">
        <v>0</v>
      </c>
      <c r="K411" s="651"/>
      <c r="L411" s="651"/>
      <c r="M411" s="651"/>
      <c r="N411" s="651"/>
      <c r="O411" s="651"/>
      <c r="P411" s="651"/>
    </row>
    <row r="412" spans="1:16" ht="18.75">
      <c r="A412" s="652">
        <v>408</v>
      </c>
      <c r="B412" s="651" t="s">
        <v>832</v>
      </c>
      <c r="C412" s="651" t="s">
        <v>1337</v>
      </c>
      <c r="D412" s="651">
        <v>1977</v>
      </c>
      <c r="E412" s="651">
        <v>10</v>
      </c>
      <c r="F412" s="651" t="s">
        <v>1330</v>
      </c>
      <c r="G412" s="651">
        <v>4.8</v>
      </c>
      <c r="H412" s="653">
        <v>0</v>
      </c>
      <c r="I412" s="653">
        <v>0</v>
      </c>
      <c r="J412" s="653">
        <v>0</v>
      </c>
      <c r="K412" s="651"/>
      <c r="L412" s="651"/>
      <c r="M412" s="651"/>
      <c r="N412" s="651"/>
      <c r="O412" s="651"/>
      <c r="P412" s="651"/>
    </row>
    <row r="413" spans="1:16" ht="18.75">
      <c r="A413" s="652">
        <v>409</v>
      </c>
      <c r="B413" s="651" t="s">
        <v>942</v>
      </c>
      <c r="C413" s="651" t="s">
        <v>1338</v>
      </c>
      <c r="D413" s="651">
        <v>1990</v>
      </c>
      <c r="E413" s="651">
        <v>10</v>
      </c>
      <c r="F413" s="651" t="s">
        <v>1330</v>
      </c>
      <c r="G413" s="651"/>
      <c r="H413" s="653"/>
      <c r="I413" s="653"/>
      <c r="J413" s="653">
        <v>0</v>
      </c>
      <c r="K413" s="651"/>
      <c r="L413" s="651"/>
      <c r="M413" s="651"/>
      <c r="N413" s="651"/>
      <c r="O413" s="651"/>
      <c r="P413" s="651"/>
    </row>
    <row r="414" spans="1:16" ht="18.75">
      <c r="A414" s="652">
        <v>410</v>
      </c>
      <c r="B414" s="651" t="s">
        <v>942</v>
      </c>
      <c r="C414" s="651" t="s">
        <v>847</v>
      </c>
      <c r="D414" s="651">
        <v>1990</v>
      </c>
      <c r="E414" s="651">
        <v>10</v>
      </c>
      <c r="F414" s="651" t="s">
        <v>1330</v>
      </c>
      <c r="G414" s="651"/>
      <c r="H414" s="653"/>
      <c r="I414" s="653"/>
      <c r="J414" s="653">
        <v>0</v>
      </c>
      <c r="K414" s="651"/>
      <c r="L414" s="654"/>
      <c r="M414" s="651"/>
      <c r="N414" s="653"/>
      <c r="O414" s="651"/>
      <c r="P414" s="651"/>
    </row>
    <row r="415" spans="1:16" ht="18.75">
      <c r="A415" s="652">
        <v>411</v>
      </c>
      <c r="B415" s="651" t="s">
        <v>1339</v>
      </c>
      <c r="C415" s="651" t="s">
        <v>847</v>
      </c>
      <c r="D415" s="651">
        <v>1967</v>
      </c>
      <c r="E415" s="651">
        <v>10</v>
      </c>
      <c r="F415" s="651" t="s">
        <v>1330</v>
      </c>
      <c r="G415" s="651"/>
      <c r="H415" s="653"/>
      <c r="I415" s="653"/>
      <c r="J415" s="653">
        <v>0</v>
      </c>
      <c r="K415" s="651"/>
      <c r="L415" s="651"/>
      <c r="M415" s="651"/>
      <c r="N415" s="651"/>
      <c r="O415" s="651"/>
      <c r="P415" s="651"/>
    </row>
    <row r="416" spans="1:16" ht="18.75">
      <c r="A416" s="652">
        <v>412</v>
      </c>
      <c r="B416" s="651" t="s">
        <v>1340</v>
      </c>
      <c r="C416" s="651" t="s">
        <v>1341</v>
      </c>
      <c r="D416" s="651">
        <v>2004</v>
      </c>
      <c r="E416" s="651">
        <v>10</v>
      </c>
      <c r="F416" s="651" t="s">
        <v>837</v>
      </c>
      <c r="G416" s="651">
        <v>7.6</v>
      </c>
      <c r="H416" s="653">
        <v>0.71</v>
      </c>
      <c r="I416" s="653">
        <v>11.31</v>
      </c>
      <c r="J416" s="653">
        <v>0</v>
      </c>
      <c r="K416" s="651"/>
      <c r="L416" s="651"/>
      <c r="M416" s="651"/>
      <c r="N416" s="651"/>
      <c r="O416" s="651"/>
      <c r="P416" s="651"/>
    </row>
    <row r="417" spans="1:16" ht="18.75">
      <c r="A417" s="652">
        <v>413</v>
      </c>
      <c r="B417" s="651" t="s">
        <v>1342</v>
      </c>
      <c r="C417" s="651" t="s">
        <v>1341</v>
      </c>
      <c r="D417" s="651">
        <v>1999</v>
      </c>
      <c r="E417" s="651">
        <v>10</v>
      </c>
      <c r="F417" s="651" t="s">
        <v>837</v>
      </c>
      <c r="G417" s="651">
        <v>9.1</v>
      </c>
      <c r="H417" s="653">
        <v>0</v>
      </c>
      <c r="I417" s="653">
        <v>0</v>
      </c>
      <c r="J417" s="653">
        <v>0</v>
      </c>
      <c r="K417" s="651"/>
      <c r="L417" s="651"/>
      <c r="M417" s="651"/>
      <c r="N417" s="651"/>
      <c r="O417" s="651"/>
      <c r="P417" s="651"/>
    </row>
    <row r="418" spans="1:16" ht="18.75">
      <c r="A418" s="652">
        <v>414</v>
      </c>
      <c r="B418" s="651" t="s">
        <v>1343</v>
      </c>
      <c r="C418" s="651" t="s">
        <v>1341</v>
      </c>
      <c r="D418" s="651">
        <v>2000</v>
      </c>
      <c r="E418" s="651">
        <v>10</v>
      </c>
      <c r="F418" s="651" t="s">
        <v>837</v>
      </c>
      <c r="G418" s="651">
        <v>16.7</v>
      </c>
      <c r="H418" s="653">
        <v>0</v>
      </c>
      <c r="I418" s="653">
        <v>0</v>
      </c>
      <c r="J418" s="653">
        <v>0</v>
      </c>
      <c r="K418" s="651"/>
      <c r="L418" s="651"/>
      <c r="M418" s="651"/>
      <c r="N418" s="651"/>
      <c r="O418" s="651"/>
      <c r="P418" s="651"/>
    </row>
    <row r="419" spans="1:16" ht="18.75">
      <c r="A419" s="652">
        <v>415</v>
      </c>
      <c r="B419" s="651" t="s">
        <v>1344</v>
      </c>
      <c r="C419" s="651" t="s">
        <v>1345</v>
      </c>
      <c r="D419" s="651">
        <v>1999</v>
      </c>
      <c r="E419" s="651">
        <v>10</v>
      </c>
      <c r="F419" s="651" t="s">
        <v>837</v>
      </c>
      <c r="G419" s="651">
        <v>17</v>
      </c>
      <c r="H419" s="653">
        <v>0</v>
      </c>
      <c r="I419" s="653">
        <v>0</v>
      </c>
      <c r="J419" s="653">
        <v>0</v>
      </c>
      <c r="K419" s="651"/>
      <c r="L419" s="651"/>
      <c r="M419" s="651"/>
      <c r="N419" s="651"/>
      <c r="O419" s="651"/>
      <c r="P419" s="651"/>
    </row>
    <row r="420" spans="1:16" ht="18.75">
      <c r="A420" s="652">
        <v>416</v>
      </c>
      <c r="B420" s="651" t="s">
        <v>1344</v>
      </c>
      <c r="C420" s="651" t="s">
        <v>1345</v>
      </c>
      <c r="D420" s="651">
        <v>1998</v>
      </c>
      <c r="E420" s="651">
        <v>10</v>
      </c>
      <c r="F420" s="651" t="s">
        <v>837</v>
      </c>
      <c r="G420" s="651">
        <v>17</v>
      </c>
      <c r="H420" s="653">
        <v>0</v>
      </c>
      <c r="I420" s="653">
        <v>1</v>
      </c>
      <c r="J420" s="653">
        <v>0</v>
      </c>
      <c r="K420" s="651"/>
      <c r="L420" s="651"/>
      <c r="M420" s="651"/>
      <c r="N420" s="651"/>
      <c r="O420" s="651"/>
      <c r="P420" s="651"/>
    </row>
    <row r="421" spans="1:16" ht="18.75">
      <c r="A421" s="652">
        <v>417</v>
      </c>
      <c r="B421" s="651" t="s">
        <v>1344</v>
      </c>
      <c r="C421" s="651" t="s">
        <v>1345</v>
      </c>
      <c r="D421" s="651">
        <v>1998</v>
      </c>
      <c r="E421" s="651">
        <v>10</v>
      </c>
      <c r="F421" s="651" t="s">
        <v>837</v>
      </c>
      <c r="G421" s="651">
        <v>17</v>
      </c>
      <c r="H421" s="653">
        <v>0</v>
      </c>
      <c r="I421" s="653">
        <v>2.43</v>
      </c>
      <c r="J421" s="653">
        <v>0</v>
      </c>
      <c r="K421" s="651"/>
      <c r="L421" s="651"/>
      <c r="M421" s="651"/>
      <c r="N421" s="651"/>
      <c r="O421" s="651"/>
      <c r="P421" s="651"/>
    </row>
    <row r="422" spans="1:16" ht="31.5">
      <c r="A422" s="652">
        <v>418</v>
      </c>
      <c r="B422" s="651" t="s">
        <v>1346</v>
      </c>
      <c r="C422" s="651" t="s">
        <v>1345</v>
      </c>
      <c r="D422" s="651">
        <v>1995</v>
      </c>
      <c r="E422" s="651">
        <v>10</v>
      </c>
      <c r="F422" s="651" t="s">
        <v>837</v>
      </c>
      <c r="G422" s="651">
        <v>17</v>
      </c>
      <c r="H422" s="653">
        <v>0</v>
      </c>
      <c r="I422" s="653">
        <v>0</v>
      </c>
      <c r="J422" s="653">
        <v>0</v>
      </c>
      <c r="K422" s="651"/>
      <c r="L422" s="1411" t="s">
        <v>1344</v>
      </c>
      <c r="M422" s="1411" t="s">
        <v>2411</v>
      </c>
      <c r="N422" s="1411">
        <v>281.89</v>
      </c>
      <c r="O422" s="1411">
        <v>17</v>
      </c>
      <c r="P422" s="1411"/>
    </row>
    <row r="423" spans="1:16" ht="18.75">
      <c r="A423" s="652">
        <v>419</v>
      </c>
      <c r="B423" s="651" t="s">
        <v>1346</v>
      </c>
      <c r="C423" s="651" t="s">
        <v>1345</v>
      </c>
      <c r="D423" s="651">
        <v>1993</v>
      </c>
      <c r="E423" s="651">
        <v>10</v>
      </c>
      <c r="F423" s="651" t="s">
        <v>837</v>
      </c>
      <c r="G423" s="651">
        <v>17</v>
      </c>
      <c r="H423" s="653">
        <v>0</v>
      </c>
      <c r="I423" s="653">
        <v>0</v>
      </c>
      <c r="J423" s="653">
        <v>0</v>
      </c>
      <c r="K423" s="651"/>
      <c r="L423" s="651"/>
      <c r="M423" s="651"/>
      <c r="N423" s="651"/>
      <c r="O423" s="651"/>
      <c r="P423" s="651"/>
    </row>
    <row r="424" spans="1:16" ht="18.75">
      <c r="A424" s="652">
        <v>420</v>
      </c>
      <c r="B424" s="651" t="s">
        <v>1346</v>
      </c>
      <c r="C424" s="651" t="s">
        <v>1345</v>
      </c>
      <c r="D424" s="651">
        <v>1979</v>
      </c>
      <c r="E424" s="651">
        <v>10</v>
      </c>
      <c r="F424" s="651" t="s">
        <v>837</v>
      </c>
      <c r="G424" s="651">
        <v>16</v>
      </c>
      <c r="H424" s="653">
        <v>0</v>
      </c>
      <c r="I424" s="653">
        <v>0</v>
      </c>
      <c r="J424" s="653">
        <v>0</v>
      </c>
      <c r="K424" s="651"/>
      <c r="L424" s="651"/>
      <c r="M424" s="651"/>
      <c r="N424" s="651"/>
      <c r="O424" s="651"/>
      <c r="P424" s="651"/>
    </row>
    <row r="425" spans="1:16" ht="18.75">
      <c r="A425" s="652">
        <v>421</v>
      </c>
      <c r="B425" s="651" t="s">
        <v>1344</v>
      </c>
      <c r="C425" s="651" t="s">
        <v>1345</v>
      </c>
      <c r="D425" s="651">
        <v>2000</v>
      </c>
      <c r="E425" s="651">
        <v>10</v>
      </c>
      <c r="F425" s="651" t="s">
        <v>837</v>
      </c>
      <c r="G425" s="651">
        <v>17</v>
      </c>
      <c r="H425" s="653">
        <v>0</v>
      </c>
      <c r="I425" s="653">
        <v>0</v>
      </c>
      <c r="J425" s="653">
        <v>0</v>
      </c>
      <c r="K425" s="651"/>
      <c r="L425" s="651"/>
      <c r="M425" s="651"/>
      <c r="N425" s="651"/>
      <c r="O425" s="651"/>
      <c r="P425" s="651"/>
    </row>
    <row r="426" spans="1:16" ht="18.75">
      <c r="A426" s="652">
        <v>422</v>
      </c>
      <c r="B426" s="651" t="s">
        <v>1347</v>
      </c>
      <c r="C426" s="651" t="s">
        <v>1348</v>
      </c>
      <c r="D426" s="651">
        <v>1982</v>
      </c>
      <c r="E426" s="651">
        <v>10</v>
      </c>
      <c r="F426" s="651" t="s">
        <v>837</v>
      </c>
      <c r="G426" s="651">
        <v>27.5</v>
      </c>
      <c r="H426" s="653">
        <v>0</v>
      </c>
      <c r="I426" s="653">
        <v>0</v>
      </c>
      <c r="J426" s="653">
        <v>0</v>
      </c>
      <c r="K426" s="651"/>
      <c r="L426" s="651"/>
      <c r="M426" s="651"/>
      <c r="N426" s="651"/>
      <c r="O426" s="651"/>
      <c r="P426" s="651"/>
    </row>
    <row r="427" spans="1:16" ht="18.75">
      <c r="A427" s="652">
        <v>423</v>
      </c>
      <c r="B427" s="651" t="s">
        <v>1347</v>
      </c>
      <c r="C427" s="651" t="s">
        <v>923</v>
      </c>
      <c r="D427" s="651">
        <v>1987</v>
      </c>
      <c r="E427" s="651">
        <v>10</v>
      </c>
      <c r="F427" s="651" t="s">
        <v>837</v>
      </c>
      <c r="G427" s="651">
        <v>26</v>
      </c>
      <c r="H427" s="653">
        <v>0</v>
      </c>
      <c r="I427" s="653">
        <v>0</v>
      </c>
      <c r="J427" s="653">
        <v>0</v>
      </c>
      <c r="K427" s="651"/>
      <c r="L427" s="651"/>
      <c r="M427" s="651"/>
      <c r="N427" s="651"/>
      <c r="O427" s="651"/>
      <c r="P427" s="651"/>
    </row>
    <row r="428" spans="1:16" ht="18.75">
      <c r="A428" s="652">
        <v>424</v>
      </c>
      <c r="B428" s="651" t="s">
        <v>1347</v>
      </c>
      <c r="C428" s="651" t="s">
        <v>923</v>
      </c>
      <c r="D428" s="651">
        <v>1985</v>
      </c>
      <c r="E428" s="651">
        <v>10</v>
      </c>
      <c r="F428" s="651" t="s">
        <v>837</v>
      </c>
      <c r="G428" s="651">
        <v>26</v>
      </c>
      <c r="H428" s="653">
        <v>0</v>
      </c>
      <c r="I428" s="653">
        <v>0</v>
      </c>
      <c r="J428" s="653">
        <v>0</v>
      </c>
      <c r="K428" s="651"/>
      <c r="L428" s="651"/>
      <c r="M428" s="651"/>
      <c r="N428" s="651"/>
      <c r="O428" s="651"/>
      <c r="P428" s="651"/>
    </row>
    <row r="429" spans="1:16" ht="18.75">
      <c r="A429" s="652">
        <v>425</v>
      </c>
      <c r="B429" s="651" t="s">
        <v>1349</v>
      </c>
      <c r="C429" s="651" t="s">
        <v>1350</v>
      </c>
      <c r="D429" s="651">
        <v>2005</v>
      </c>
      <c r="E429" s="651">
        <v>10</v>
      </c>
      <c r="F429" s="651" t="s">
        <v>837</v>
      </c>
      <c r="G429" s="651">
        <v>32</v>
      </c>
      <c r="H429" s="653">
        <v>0</v>
      </c>
      <c r="I429" s="653">
        <v>0.38</v>
      </c>
      <c r="J429" s="653">
        <v>45.36</v>
      </c>
      <c r="K429" s="651"/>
      <c r="L429" s="654"/>
      <c r="M429" s="654"/>
      <c r="N429" s="651"/>
      <c r="O429" s="651"/>
      <c r="P429" s="653"/>
    </row>
    <row r="430" spans="1:16" ht="18.75">
      <c r="A430" s="652">
        <v>426</v>
      </c>
      <c r="B430" s="651" t="s">
        <v>1351</v>
      </c>
      <c r="C430" s="651" t="s">
        <v>1207</v>
      </c>
      <c r="D430" s="651">
        <v>2012</v>
      </c>
      <c r="E430" s="651">
        <v>10</v>
      </c>
      <c r="F430" s="651" t="s">
        <v>837</v>
      </c>
      <c r="G430" s="651">
        <v>22.4</v>
      </c>
      <c r="H430" s="653">
        <v>0</v>
      </c>
      <c r="I430" s="653">
        <v>0</v>
      </c>
      <c r="J430" s="653">
        <v>311.2</v>
      </c>
      <c r="K430" s="651"/>
      <c r="L430" s="654"/>
      <c r="M430" s="654"/>
      <c r="N430" s="655"/>
      <c r="O430" s="651"/>
      <c r="P430" s="653"/>
    </row>
    <row r="431" spans="1:16" ht="18.75">
      <c r="A431" s="652">
        <v>427</v>
      </c>
      <c r="B431" s="651" t="s">
        <v>1352</v>
      </c>
      <c r="C431" s="651" t="s">
        <v>1333</v>
      </c>
      <c r="D431" s="651">
        <v>1999</v>
      </c>
      <c r="E431" s="651">
        <v>10</v>
      </c>
      <c r="F431" s="651" t="s">
        <v>837</v>
      </c>
      <c r="G431" s="651">
        <v>18</v>
      </c>
      <c r="H431" s="653">
        <v>0</v>
      </c>
      <c r="I431" s="653">
        <v>5294</v>
      </c>
      <c r="J431" s="653">
        <v>0</v>
      </c>
      <c r="K431" s="651"/>
      <c r="L431" s="654"/>
      <c r="M431" s="651"/>
      <c r="N431" s="653"/>
      <c r="O431" s="651"/>
      <c r="P431" s="653"/>
    </row>
    <row r="432" spans="1:16" ht="18.75">
      <c r="A432" s="652">
        <v>428</v>
      </c>
      <c r="B432" s="651" t="s">
        <v>1353</v>
      </c>
      <c r="C432" s="651" t="s">
        <v>1345</v>
      </c>
      <c r="D432" s="651">
        <v>2008</v>
      </c>
      <c r="E432" s="651">
        <v>10</v>
      </c>
      <c r="F432" s="651" t="s">
        <v>837</v>
      </c>
      <c r="G432" s="651">
        <v>15</v>
      </c>
      <c r="H432" s="653">
        <v>0</v>
      </c>
      <c r="I432" s="653">
        <v>1.38</v>
      </c>
      <c r="J432" s="653">
        <v>0</v>
      </c>
      <c r="K432" s="651"/>
      <c r="L432" s="654"/>
      <c r="M432" s="651"/>
      <c r="N432" s="656"/>
      <c r="O432" s="651"/>
      <c r="P432" s="653"/>
    </row>
    <row r="433" spans="1:16" ht="18.75">
      <c r="A433" s="652">
        <v>429</v>
      </c>
      <c r="B433" s="651" t="s">
        <v>1354</v>
      </c>
      <c r="C433" s="651" t="s">
        <v>838</v>
      </c>
      <c r="D433" s="651">
        <v>1990</v>
      </c>
      <c r="E433" s="651">
        <v>10</v>
      </c>
      <c r="F433" s="651" t="s">
        <v>837</v>
      </c>
      <c r="G433" s="651">
        <v>31</v>
      </c>
      <c r="H433" s="653">
        <v>0</v>
      </c>
      <c r="I433" s="653">
        <v>0</v>
      </c>
      <c r="J433" s="653">
        <v>0</v>
      </c>
      <c r="K433" s="651"/>
      <c r="L433" s="654"/>
      <c r="M433" s="654"/>
      <c r="N433" s="655"/>
      <c r="O433" s="651"/>
      <c r="P433" s="653"/>
    </row>
    <row r="434" spans="1:16" ht="18.75">
      <c r="A434" s="652">
        <v>430</v>
      </c>
      <c r="B434" s="651" t="s">
        <v>1354</v>
      </c>
      <c r="C434" s="651" t="s">
        <v>1355</v>
      </c>
      <c r="D434" s="651">
        <v>1987</v>
      </c>
      <c r="E434" s="651">
        <v>10</v>
      </c>
      <c r="F434" s="651" t="s">
        <v>837</v>
      </c>
      <c r="G434" s="651">
        <v>40</v>
      </c>
      <c r="H434" s="653">
        <v>0</v>
      </c>
      <c r="I434" s="653">
        <v>0</v>
      </c>
      <c r="J434" s="653">
        <v>0</v>
      </c>
      <c r="K434" s="651"/>
      <c r="L434" s="654"/>
      <c r="M434" s="651"/>
      <c r="N434" s="653"/>
      <c r="O434" s="651"/>
      <c r="P434" s="651"/>
    </row>
    <row r="435" spans="1:16" ht="18.75">
      <c r="A435" s="652">
        <v>431</v>
      </c>
      <c r="B435" s="651" t="s">
        <v>1356</v>
      </c>
      <c r="C435" s="651" t="s">
        <v>1304</v>
      </c>
      <c r="D435" s="651">
        <v>2000</v>
      </c>
      <c r="E435" s="651">
        <v>10</v>
      </c>
      <c r="F435" s="651" t="s">
        <v>837</v>
      </c>
      <c r="G435" s="651">
        <v>14</v>
      </c>
      <c r="H435" s="653">
        <v>0</v>
      </c>
      <c r="I435" s="653">
        <v>0</v>
      </c>
      <c r="J435" s="653">
        <v>42.81</v>
      </c>
      <c r="K435" s="651"/>
      <c r="L435" s="654"/>
      <c r="M435" s="651"/>
      <c r="N435" s="655"/>
      <c r="O435" s="651"/>
      <c r="P435" s="651"/>
    </row>
    <row r="436" spans="1:16" ht="18.75">
      <c r="A436" s="652">
        <v>432</v>
      </c>
      <c r="B436" s="651" t="s">
        <v>935</v>
      </c>
      <c r="C436" s="651" t="s">
        <v>1357</v>
      </c>
      <c r="D436" s="651">
        <v>1989</v>
      </c>
      <c r="E436" s="651">
        <v>10</v>
      </c>
      <c r="F436" s="651" t="s">
        <v>837</v>
      </c>
      <c r="G436" s="651">
        <v>9</v>
      </c>
      <c r="H436" s="653">
        <v>0</v>
      </c>
      <c r="I436" s="653">
        <v>0</v>
      </c>
      <c r="J436" s="653">
        <v>42.81</v>
      </c>
      <c r="K436" s="651"/>
      <c r="L436" s="654"/>
      <c r="M436" s="651"/>
      <c r="N436" s="653"/>
      <c r="O436" s="651"/>
      <c r="P436" s="651"/>
    </row>
    <row r="437" spans="1:16" ht="18.75">
      <c r="A437" s="652">
        <v>433</v>
      </c>
      <c r="B437" s="651" t="s">
        <v>1358</v>
      </c>
      <c r="C437" s="651" t="s">
        <v>998</v>
      </c>
      <c r="D437" s="651">
        <v>1969</v>
      </c>
      <c r="E437" s="651">
        <v>10</v>
      </c>
      <c r="F437" s="651" t="s">
        <v>837</v>
      </c>
      <c r="G437" s="651">
        <v>0</v>
      </c>
      <c r="H437" s="653">
        <v>0</v>
      </c>
      <c r="I437" s="653">
        <v>0</v>
      </c>
      <c r="J437" s="653">
        <v>0</v>
      </c>
      <c r="K437" s="651"/>
      <c r="L437" s="651"/>
      <c r="M437" s="651"/>
      <c r="N437" s="651"/>
      <c r="O437" s="651"/>
      <c r="P437" s="651"/>
    </row>
    <row r="438" spans="1:16" ht="18.75">
      <c r="A438" s="652">
        <v>434</v>
      </c>
      <c r="B438" s="651" t="s">
        <v>891</v>
      </c>
      <c r="C438" s="651" t="s">
        <v>1186</v>
      </c>
      <c r="D438" s="651">
        <v>1988</v>
      </c>
      <c r="E438" s="651">
        <v>10</v>
      </c>
      <c r="F438" s="651" t="s">
        <v>837</v>
      </c>
      <c r="G438" s="651">
        <v>3.6</v>
      </c>
      <c r="H438" s="653">
        <v>0</v>
      </c>
      <c r="I438" s="653">
        <v>0</v>
      </c>
      <c r="J438" s="653">
        <v>0</v>
      </c>
      <c r="K438" s="651"/>
      <c r="L438" s="651"/>
      <c r="M438" s="651"/>
      <c r="N438" s="651"/>
      <c r="O438" s="651"/>
      <c r="P438" s="651"/>
    </row>
    <row r="439" spans="1:16" ht="18.75">
      <c r="A439" s="652">
        <v>435</v>
      </c>
      <c r="B439" s="651" t="s">
        <v>1359</v>
      </c>
      <c r="C439" s="651" t="s">
        <v>1186</v>
      </c>
      <c r="D439" s="651">
        <v>1986</v>
      </c>
      <c r="E439" s="651">
        <v>10</v>
      </c>
      <c r="F439" s="651" t="s">
        <v>837</v>
      </c>
      <c r="G439" s="651">
        <v>3.6</v>
      </c>
      <c r="H439" s="653">
        <v>0</v>
      </c>
      <c r="I439" s="653">
        <v>0</v>
      </c>
      <c r="J439" s="653">
        <v>0</v>
      </c>
      <c r="K439" s="651"/>
      <c r="L439" s="651"/>
      <c r="M439" s="651"/>
      <c r="N439" s="651"/>
      <c r="O439" s="651"/>
      <c r="P439" s="651"/>
    </row>
    <row r="440" spans="1:16" ht="18.75">
      <c r="A440" s="652">
        <v>436</v>
      </c>
      <c r="B440" s="651" t="s">
        <v>1359</v>
      </c>
      <c r="C440" s="651" t="s">
        <v>1186</v>
      </c>
      <c r="D440" s="651">
        <v>1982</v>
      </c>
      <c r="E440" s="651">
        <v>10</v>
      </c>
      <c r="F440" s="651" t="s">
        <v>837</v>
      </c>
      <c r="G440" s="651">
        <v>3.6</v>
      </c>
      <c r="H440" s="653">
        <v>0</v>
      </c>
      <c r="I440" s="653">
        <v>0</v>
      </c>
      <c r="J440" s="653">
        <v>0</v>
      </c>
      <c r="K440" s="651"/>
      <c r="L440" s="654"/>
      <c r="M440" s="651"/>
      <c r="N440" s="653"/>
      <c r="O440" s="651"/>
      <c r="P440" s="651"/>
    </row>
    <row r="441" spans="1:16" ht="18.75">
      <c r="A441" s="652">
        <v>437</v>
      </c>
      <c r="B441" s="651" t="s">
        <v>940</v>
      </c>
      <c r="C441" s="651" t="s">
        <v>1186</v>
      </c>
      <c r="D441" s="651">
        <v>1986</v>
      </c>
      <c r="E441" s="651">
        <v>10</v>
      </c>
      <c r="F441" s="651" t="s">
        <v>837</v>
      </c>
      <c r="G441" s="651">
        <v>3.6</v>
      </c>
      <c r="H441" s="653">
        <v>0</v>
      </c>
      <c r="I441" s="653">
        <v>0</v>
      </c>
      <c r="J441" s="653">
        <v>0</v>
      </c>
      <c r="K441" s="651"/>
      <c r="L441" s="654"/>
      <c r="M441" s="651"/>
      <c r="N441" s="653"/>
      <c r="O441" s="651"/>
      <c r="P441" s="651"/>
    </row>
    <row r="442" spans="1:16" ht="18.75">
      <c r="A442" s="652">
        <v>438</v>
      </c>
      <c r="B442" s="651" t="s">
        <v>942</v>
      </c>
      <c r="C442" s="651" t="s">
        <v>1360</v>
      </c>
      <c r="D442" s="651">
        <v>1986</v>
      </c>
      <c r="E442" s="651">
        <v>10</v>
      </c>
      <c r="F442" s="651" t="s">
        <v>837</v>
      </c>
      <c r="G442" s="651">
        <v>0</v>
      </c>
      <c r="H442" s="653">
        <v>0</v>
      </c>
      <c r="I442" s="653">
        <v>0</v>
      </c>
      <c r="J442" s="653">
        <v>0</v>
      </c>
      <c r="K442" s="651"/>
      <c r="L442" s="654"/>
      <c r="M442" s="651"/>
      <c r="N442" s="653"/>
      <c r="O442" s="651"/>
      <c r="P442" s="651"/>
    </row>
    <row r="443" spans="1:16" ht="18.75">
      <c r="A443" s="652">
        <v>439</v>
      </c>
      <c r="B443" s="651" t="s">
        <v>942</v>
      </c>
      <c r="C443" s="651" t="s">
        <v>1360</v>
      </c>
      <c r="D443" s="651">
        <v>1985</v>
      </c>
      <c r="E443" s="651">
        <v>10</v>
      </c>
      <c r="F443" s="651" t="s">
        <v>837</v>
      </c>
      <c r="G443" s="651">
        <v>0</v>
      </c>
      <c r="H443" s="653">
        <v>0</v>
      </c>
      <c r="I443" s="653">
        <v>0</v>
      </c>
      <c r="J443" s="653">
        <v>0</v>
      </c>
      <c r="K443" s="651"/>
      <c r="L443" s="654"/>
      <c r="M443" s="651"/>
      <c r="N443" s="653"/>
      <c r="O443" s="651"/>
      <c r="P443" s="651"/>
    </row>
    <row r="444" spans="1:16" ht="18.75">
      <c r="A444" s="652">
        <v>440</v>
      </c>
      <c r="B444" s="651" t="s">
        <v>942</v>
      </c>
      <c r="C444" s="651" t="s">
        <v>1360</v>
      </c>
      <c r="D444" s="651">
        <v>1982</v>
      </c>
      <c r="E444" s="651">
        <v>10</v>
      </c>
      <c r="F444" s="651" t="s">
        <v>837</v>
      </c>
      <c r="G444" s="651">
        <v>0</v>
      </c>
      <c r="H444" s="653">
        <v>0</v>
      </c>
      <c r="I444" s="653">
        <v>0</v>
      </c>
      <c r="J444" s="653">
        <v>0</v>
      </c>
      <c r="K444" s="651"/>
      <c r="L444" s="654"/>
      <c r="M444" s="651"/>
      <c r="N444" s="653"/>
      <c r="O444" s="651"/>
      <c r="P444" s="651"/>
    </row>
    <row r="445" spans="1:16" ht="18.75">
      <c r="A445" s="652">
        <v>441</v>
      </c>
      <c r="B445" s="651" t="s">
        <v>1361</v>
      </c>
      <c r="C445" s="651" t="s">
        <v>1360</v>
      </c>
      <c r="D445" s="651">
        <v>1999</v>
      </c>
      <c r="E445" s="651">
        <v>10</v>
      </c>
      <c r="F445" s="651" t="s">
        <v>837</v>
      </c>
      <c r="G445" s="651">
        <v>0</v>
      </c>
      <c r="H445" s="653">
        <v>0</v>
      </c>
      <c r="I445" s="653">
        <v>0</v>
      </c>
      <c r="J445" s="653">
        <v>0</v>
      </c>
      <c r="K445" s="651"/>
      <c r="L445" s="654"/>
      <c r="M445" s="651"/>
      <c r="N445" s="653"/>
      <c r="O445" s="651"/>
      <c r="P445" s="651"/>
    </row>
    <row r="446" spans="1:16" ht="37.5">
      <c r="A446" s="652">
        <v>442</v>
      </c>
      <c r="B446" s="652" t="s">
        <v>1362</v>
      </c>
      <c r="C446" s="651" t="s">
        <v>853</v>
      </c>
      <c r="D446" s="651">
        <v>2004</v>
      </c>
      <c r="E446" s="651">
        <v>10</v>
      </c>
      <c r="F446" s="651" t="s">
        <v>1363</v>
      </c>
      <c r="G446" s="651">
        <v>11</v>
      </c>
      <c r="H446" s="653"/>
      <c r="I446" s="653">
        <v>37.21</v>
      </c>
      <c r="J446" s="653">
        <v>10.14</v>
      </c>
      <c r="K446" s="651"/>
      <c r="L446" s="654"/>
      <c r="M446" s="654"/>
      <c r="N446" s="655"/>
      <c r="O446" s="651"/>
      <c r="P446" s="653"/>
    </row>
    <row r="447" spans="1:16" ht="18.75">
      <c r="A447" s="652">
        <v>443</v>
      </c>
      <c r="B447" s="652" t="s">
        <v>919</v>
      </c>
      <c r="C447" s="651" t="s">
        <v>853</v>
      </c>
      <c r="D447" s="651">
        <v>2004</v>
      </c>
      <c r="E447" s="651">
        <v>10</v>
      </c>
      <c r="F447" s="651" t="s">
        <v>1363</v>
      </c>
      <c r="G447" s="651">
        <v>9</v>
      </c>
      <c r="H447" s="653"/>
      <c r="I447" s="653">
        <v>9.94</v>
      </c>
      <c r="J447" s="653">
        <v>2.25</v>
      </c>
      <c r="K447" s="651"/>
      <c r="L447" s="654"/>
      <c r="M447" s="651"/>
      <c r="N447" s="653"/>
      <c r="O447" s="651"/>
      <c r="P447" s="653"/>
    </row>
    <row r="448" spans="1:16" ht="18.75">
      <c r="A448" s="652">
        <v>444</v>
      </c>
      <c r="B448" s="652" t="s">
        <v>945</v>
      </c>
      <c r="C448" s="651" t="s">
        <v>853</v>
      </c>
      <c r="D448" s="651">
        <v>1999</v>
      </c>
      <c r="E448" s="651">
        <v>10</v>
      </c>
      <c r="F448" s="651" t="s">
        <v>1363</v>
      </c>
      <c r="G448" s="651">
        <v>13</v>
      </c>
      <c r="H448" s="653"/>
      <c r="I448" s="653">
        <v>1.1</v>
      </c>
      <c r="J448" s="653">
        <v>2.17</v>
      </c>
      <c r="K448" s="651"/>
      <c r="L448" s="654"/>
      <c r="M448" s="651"/>
      <c r="N448" s="656"/>
      <c r="O448" s="651"/>
      <c r="P448" s="653"/>
    </row>
    <row r="449" spans="1:16" ht="18.75">
      <c r="A449" s="652">
        <v>445</v>
      </c>
      <c r="B449" s="652" t="s">
        <v>887</v>
      </c>
      <c r="C449" s="651" t="s">
        <v>853</v>
      </c>
      <c r="D449" s="651">
        <v>2003</v>
      </c>
      <c r="E449" s="651">
        <v>10</v>
      </c>
      <c r="F449" s="651" t="s">
        <v>1363</v>
      </c>
      <c r="G449" s="651">
        <v>9</v>
      </c>
      <c r="H449" s="653"/>
      <c r="I449" s="653">
        <v>2.2</v>
      </c>
      <c r="J449" s="653">
        <v>0.38</v>
      </c>
      <c r="K449" s="651"/>
      <c r="L449" s="654"/>
      <c r="M449" s="654"/>
      <c r="N449" s="655"/>
      <c r="O449" s="651"/>
      <c r="P449" s="653"/>
    </row>
    <row r="450" spans="1:16" ht="18.75">
      <c r="A450" s="652">
        <v>446</v>
      </c>
      <c r="B450" s="652" t="s">
        <v>1364</v>
      </c>
      <c r="C450" s="651" t="s">
        <v>1365</v>
      </c>
      <c r="D450" s="651">
        <v>1993</v>
      </c>
      <c r="E450" s="651">
        <v>10</v>
      </c>
      <c r="F450" s="651" t="s">
        <v>1363</v>
      </c>
      <c r="G450" s="651">
        <v>19</v>
      </c>
      <c r="H450" s="653"/>
      <c r="I450" s="653">
        <v>0</v>
      </c>
      <c r="J450" s="653">
        <v>0</v>
      </c>
      <c r="K450" s="651"/>
      <c r="L450" s="654"/>
      <c r="M450" s="651"/>
      <c r="N450" s="653"/>
      <c r="O450" s="651"/>
      <c r="P450" s="651"/>
    </row>
    <row r="451" spans="1:16" ht="18.75">
      <c r="A451" s="652">
        <v>447</v>
      </c>
      <c r="B451" s="652" t="s">
        <v>1366</v>
      </c>
      <c r="C451" s="651" t="s">
        <v>1365</v>
      </c>
      <c r="D451" s="651">
        <v>2000</v>
      </c>
      <c r="E451" s="651">
        <v>10</v>
      </c>
      <c r="F451" s="651" t="s">
        <v>1363</v>
      </c>
      <c r="G451" s="651">
        <v>19</v>
      </c>
      <c r="H451" s="653"/>
      <c r="I451" s="653">
        <v>2.73</v>
      </c>
      <c r="J451" s="653">
        <v>2.24</v>
      </c>
      <c r="K451" s="651"/>
      <c r="L451" s="654"/>
      <c r="M451" s="651"/>
      <c r="N451" s="655"/>
      <c r="O451" s="651"/>
      <c r="P451" s="651"/>
    </row>
    <row r="452" spans="1:16" ht="18.75">
      <c r="A452" s="652">
        <v>448</v>
      </c>
      <c r="B452" s="652" t="s">
        <v>885</v>
      </c>
      <c r="C452" s="651" t="s">
        <v>1367</v>
      </c>
      <c r="D452" s="651">
        <v>2008</v>
      </c>
      <c r="E452" s="651">
        <v>10</v>
      </c>
      <c r="F452" s="651" t="s">
        <v>1363</v>
      </c>
      <c r="G452" s="651">
        <v>17</v>
      </c>
      <c r="H452" s="653"/>
      <c r="I452" s="653">
        <v>0.95</v>
      </c>
      <c r="J452" s="653">
        <v>55.59</v>
      </c>
      <c r="K452" s="651"/>
      <c r="L452" s="654"/>
      <c r="M452" s="651"/>
      <c r="N452" s="653"/>
      <c r="O452" s="651"/>
      <c r="P452" s="651"/>
    </row>
    <row r="453" spans="1:16" ht="18.75">
      <c r="A453" s="652">
        <v>449</v>
      </c>
      <c r="B453" s="652" t="s">
        <v>883</v>
      </c>
      <c r="C453" s="651" t="s">
        <v>1368</v>
      </c>
      <c r="D453" s="651">
        <v>1999</v>
      </c>
      <c r="E453" s="651">
        <v>10</v>
      </c>
      <c r="F453" s="651" t="s">
        <v>1363</v>
      </c>
      <c r="G453" s="651">
        <v>17</v>
      </c>
      <c r="H453" s="653"/>
      <c r="I453" s="653">
        <v>0.36</v>
      </c>
      <c r="J453" s="653">
        <v>0</v>
      </c>
      <c r="K453" s="651"/>
      <c r="L453" s="651"/>
      <c r="M453" s="651"/>
      <c r="N453" s="651"/>
      <c r="O453" s="651"/>
      <c r="P453" s="651"/>
    </row>
    <row r="454" spans="1:16" ht="18.75">
      <c r="A454" s="652">
        <v>450</v>
      </c>
      <c r="B454" s="652" t="s">
        <v>883</v>
      </c>
      <c r="C454" s="651" t="s">
        <v>1365</v>
      </c>
      <c r="D454" s="651">
        <v>1999</v>
      </c>
      <c r="E454" s="651">
        <v>10</v>
      </c>
      <c r="F454" s="651" t="s">
        <v>1363</v>
      </c>
      <c r="G454" s="651">
        <v>19</v>
      </c>
      <c r="H454" s="653"/>
      <c r="I454" s="653">
        <v>2.8</v>
      </c>
      <c r="J454" s="653">
        <v>0</v>
      </c>
      <c r="K454" s="651"/>
      <c r="L454" s="651"/>
      <c r="M454" s="651"/>
      <c r="N454" s="651"/>
      <c r="O454" s="651"/>
      <c r="P454" s="651"/>
    </row>
    <row r="455" spans="1:16" ht="18.75">
      <c r="A455" s="652">
        <v>451</v>
      </c>
      <c r="B455" s="652" t="s">
        <v>883</v>
      </c>
      <c r="C455" s="651" t="s">
        <v>1365</v>
      </c>
      <c r="D455" s="651">
        <v>1998</v>
      </c>
      <c r="E455" s="651">
        <v>10</v>
      </c>
      <c r="F455" s="651" t="s">
        <v>1363</v>
      </c>
      <c r="G455" s="651">
        <v>18</v>
      </c>
      <c r="H455" s="653"/>
      <c r="I455" s="653">
        <v>1.41</v>
      </c>
      <c r="J455" s="653">
        <v>0</v>
      </c>
      <c r="K455" s="651"/>
      <c r="L455" s="651"/>
      <c r="M455" s="651"/>
      <c r="N455" s="651"/>
      <c r="O455" s="651"/>
      <c r="P455" s="651"/>
    </row>
    <row r="456" spans="1:16" ht="18.75">
      <c r="A456" s="652">
        <v>452</v>
      </c>
      <c r="B456" s="652" t="s">
        <v>883</v>
      </c>
      <c r="C456" s="651" t="s">
        <v>1368</v>
      </c>
      <c r="D456" s="651">
        <v>1999</v>
      </c>
      <c r="E456" s="651">
        <v>10</v>
      </c>
      <c r="F456" s="651" t="s">
        <v>1363</v>
      </c>
      <c r="G456" s="651">
        <v>17</v>
      </c>
      <c r="H456" s="653"/>
      <c r="I456" s="653">
        <v>6.1</v>
      </c>
      <c r="J456" s="653">
        <v>3</v>
      </c>
      <c r="K456" s="651"/>
      <c r="L456" s="654"/>
      <c r="M456" s="651"/>
      <c r="N456" s="653"/>
      <c r="O456" s="651"/>
      <c r="P456" s="651"/>
    </row>
    <row r="457" spans="1:16" ht="18.75">
      <c r="A457" s="652">
        <v>453</v>
      </c>
      <c r="B457" s="652" t="s">
        <v>883</v>
      </c>
      <c r="C457" s="651" t="s">
        <v>1368</v>
      </c>
      <c r="D457" s="651">
        <v>1999</v>
      </c>
      <c r="E457" s="651">
        <v>10</v>
      </c>
      <c r="F457" s="651" t="s">
        <v>1363</v>
      </c>
      <c r="G457" s="651">
        <v>17</v>
      </c>
      <c r="H457" s="653"/>
      <c r="I457" s="653">
        <v>3.34</v>
      </c>
      <c r="J457" s="653">
        <v>0</v>
      </c>
      <c r="K457" s="651"/>
      <c r="L457" s="651"/>
      <c r="M457" s="651"/>
      <c r="N457" s="651"/>
      <c r="O457" s="651"/>
      <c r="P457" s="651"/>
    </row>
    <row r="458" spans="1:16" ht="18.75">
      <c r="A458" s="652">
        <v>454</v>
      </c>
      <c r="B458" s="652" t="s">
        <v>948</v>
      </c>
      <c r="C458" s="651" t="s">
        <v>1365</v>
      </c>
      <c r="D458" s="651">
        <v>1999</v>
      </c>
      <c r="E458" s="651">
        <v>10</v>
      </c>
      <c r="F458" s="651" t="s">
        <v>1363</v>
      </c>
      <c r="G458" s="651">
        <v>20</v>
      </c>
      <c r="H458" s="653"/>
      <c r="I458" s="653">
        <v>3.73</v>
      </c>
      <c r="J458" s="653">
        <v>3</v>
      </c>
      <c r="K458" s="651"/>
      <c r="L458" s="651"/>
      <c r="M458" s="651"/>
      <c r="N458" s="651"/>
      <c r="O458" s="651"/>
      <c r="P458" s="651"/>
    </row>
    <row r="459" spans="1:16" ht="18.75">
      <c r="A459" s="652">
        <v>455</v>
      </c>
      <c r="B459" s="652" t="s">
        <v>975</v>
      </c>
      <c r="C459" s="651" t="s">
        <v>1369</v>
      </c>
      <c r="D459" s="651">
        <v>2005</v>
      </c>
      <c r="E459" s="651">
        <v>10</v>
      </c>
      <c r="F459" s="651" t="s">
        <v>1363</v>
      </c>
      <c r="G459" s="651">
        <v>16.2</v>
      </c>
      <c r="H459" s="653"/>
      <c r="I459" s="653">
        <v>7.9</v>
      </c>
      <c r="J459" s="653">
        <v>8.38</v>
      </c>
      <c r="K459" s="651"/>
      <c r="L459" s="651"/>
      <c r="M459" s="651"/>
      <c r="N459" s="651"/>
      <c r="O459" s="651"/>
      <c r="P459" s="651"/>
    </row>
    <row r="460" spans="1:16" ht="18.75">
      <c r="A460" s="652">
        <v>456</v>
      </c>
      <c r="B460" s="652" t="s">
        <v>975</v>
      </c>
      <c r="C460" s="651" t="s">
        <v>1369</v>
      </c>
      <c r="D460" s="651">
        <v>2000</v>
      </c>
      <c r="E460" s="651">
        <v>10</v>
      </c>
      <c r="F460" s="651" t="s">
        <v>1363</v>
      </c>
      <c r="G460" s="651">
        <v>19</v>
      </c>
      <c r="H460" s="653"/>
      <c r="I460" s="653">
        <v>9.28</v>
      </c>
      <c r="J460" s="653">
        <v>2.17</v>
      </c>
      <c r="K460" s="651"/>
      <c r="L460" s="654"/>
      <c r="M460" s="654"/>
      <c r="N460" s="655"/>
      <c r="O460" s="651"/>
      <c r="P460" s="653"/>
    </row>
    <row r="461" spans="1:16" ht="18.75">
      <c r="A461" s="652">
        <v>457</v>
      </c>
      <c r="B461" s="652" t="s">
        <v>975</v>
      </c>
      <c r="C461" s="651" t="s">
        <v>1369</v>
      </c>
      <c r="D461" s="651">
        <v>2007</v>
      </c>
      <c r="E461" s="651">
        <v>10</v>
      </c>
      <c r="F461" s="651" t="s">
        <v>1363</v>
      </c>
      <c r="G461" s="651" t="s">
        <v>1370</v>
      </c>
      <c r="H461" s="653"/>
      <c r="I461" s="653">
        <v>3.1</v>
      </c>
      <c r="J461" s="653">
        <v>41.67</v>
      </c>
      <c r="K461" s="651"/>
      <c r="L461" s="654"/>
      <c r="M461" s="651"/>
      <c r="N461" s="653"/>
      <c r="O461" s="651"/>
      <c r="P461" s="653"/>
    </row>
    <row r="462" spans="1:16" ht="18.75">
      <c r="A462" s="652">
        <v>458</v>
      </c>
      <c r="B462" s="652" t="s">
        <v>928</v>
      </c>
      <c r="C462" s="651" t="s">
        <v>1371</v>
      </c>
      <c r="D462" s="651">
        <v>1998</v>
      </c>
      <c r="E462" s="651">
        <v>10</v>
      </c>
      <c r="F462" s="651" t="s">
        <v>1363</v>
      </c>
      <c r="G462" s="651">
        <v>19</v>
      </c>
      <c r="H462" s="653"/>
      <c r="I462" s="653">
        <v>9.54</v>
      </c>
      <c r="J462" s="653">
        <v>0</v>
      </c>
      <c r="K462" s="651"/>
      <c r="L462" s="654"/>
      <c r="M462" s="651"/>
      <c r="N462" s="656"/>
      <c r="O462" s="651"/>
      <c r="P462" s="653"/>
    </row>
    <row r="463" spans="1:16" ht="18.75">
      <c r="A463" s="652">
        <v>459</v>
      </c>
      <c r="B463" s="652" t="s">
        <v>928</v>
      </c>
      <c r="C463" s="651" t="s">
        <v>1371</v>
      </c>
      <c r="D463" s="651">
        <v>1998</v>
      </c>
      <c r="E463" s="651">
        <v>10</v>
      </c>
      <c r="F463" s="651" t="s">
        <v>1363</v>
      </c>
      <c r="G463" s="651">
        <v>19</v>
      </c>
      <c r="H463" s="653"/>
      <c r="I463" s="653">
        <v>8.41</v>
      </c>
      <c r="J463" s="653">
        <v>0</v>
      </c>
      <c r="K463" s="651"/>
      <c r="L463" s="654"/>
      <c r="M463" s="654"/>
      <c r="N463" s="655"/>
      <c r="O463" s="651"/>
      <c r="P463" s="653"/>
    </row>
    <row r="464" spans="1:16" ht="18.75">
      <c r="A464" s="652">
        <v>460</v>
      </c>
      <c r="B464" s="652" t="s">
        <v>834</v>
      </c>
      <c r="C464" s="651" t="s">
        <v>923</v>
      </c>
      <c r="D464" s="651">
        <v>1992</v>
      </c>
      <c r="E464" s="651">
        <v>10</v>
      </c>
      <c r="F464" s="651" t="s">
        <v>1363</v>
      </c>
      <c r="G464" s="651">
        <v>27</v>
      </c>
      <c r="H464" s="653"/>
      <c r="I464" s="653">
        <v>0.12</v>
      </c>
      <c r="J464" s="653">
        <v>0</v>
      </c>
      <c r="K464" s="651"/>
      <c r="L464" s="654"/>
      <c r="M464" s="651"/>
      <c r="N464" s="653"/>
      <c r="O464" s="651"/>
      <c r="P464" s="651"/>
    </row>
    <row r="465" spans="1:16" ht="18.75">
      <c r="A465" s="652">
        <v>461</v>
      </c>
      <c r="B465" s="652" t="s">
        <v>875</v>
      </c>
      <c r="C465" s="651" t="s">
        <v>836</v>
      </c>
      <c r="D465" s="651">
        <v>1990</v>
      </c>
      <c r="E465" s="651">
        <v>10</v>
      </c>
      <c r="F465" s="651" t="s">
        <v>1363</v>
      </c>
      <c r="G465" s="651">
        <v>28</v>
      </c>
      <c r="H465" s="653"/>
      <c r="I465" s="653">
        <v>3.09</v>
      </c>
      <c r="J465" s="653">
        <v>0</v>
      </c>
      <c r="K465" s="651"/>
      <c r="L465" s="654"/>
      <c r="M465" s="651"/>
      <c r="N465" s="655"/>
      <c r="O465" s="651"/>
      <c r="P465" s="651"/>
    </row>
    <row r="466" spans="1:16" ht="18.75">
      <c r="A466" s="652">
        <v>462</v>
      </c>
      <c r="B466" s="652" t="s">
        <v>875</v>
      </c>
      <c r="C466" s="651" t="s">
        <v>1372</v>
      </c>
      <c r="D466" s="651">
        <v>1992</v>
      </c>
      <c r="E466" s="651">
        <v>10</v>
      </c>
      <c r="F466" s="651" t="s">
        <v>1363</v>
      </c>
      <c r="G466" s="651">
        <v>26</v>
      </c>
      <c r="H466" s="653"/>
      <c r="I466" s="653">
        <v>1.43</v>
      </c>
      <c r="J466" s="653">
        <v>0</v>
      </c>
      <c r="K466" s="651"/>
      <c r="L466" s="654"/>
      <c r="M466" s="651"/>
      <c r="N466" s="653"/>
      <c r="O466" s="651"/>
      <c r="P466" s="651"/>
    </row>
    <row r="467" spans="1:16" ht="18.75">
      <c r="A467" s="652">
        <v>463</v>
      </c>
      <c r="B467" s="652" t="s">
        <v>875</v>
      </c>
      <c r="C467" s="651" t="s">
        <v>1368</v>
      </c>
      <c r="D467" s="651">
        <v>1990</v>
      </c>
      <c r="E467" s="651">
        <v>10</v>
      </c>
      <c r="F467" s="651" t="s">
        <v>1363</v>
      </c>
      <c r="G467" s="651">
        <v>26</v>
      </c>
      <c r="H467" s="653"/>
      <c r="I467" s="653">
        <v>1.53</v>
      </c>
      <c r="J467" s="653">
        <v>0</v>
      </c>
      <c r="K467" s="651"/>
      <c r="L467" s="651"/>
      <c r="M467" s="651"/>
      <c r="N467" s="651"/>
      <c r="O467" s="651"/>
      <c r="P467" s="651"/>
    </row>
    <row r="468" spans="1:16" ht="18.75">
      <c r="A468" s="652">
        <v>464</v>
      </c>
      <c r="B468" s="652" t="s">
        <v>875</v>
      </c>
      <c r="C468" s="651" t="s">
        <v>836</v>
      </c>
      <c r="D468" s="651">
        <v>1988</v>
      </c>
      <c r="E468" s="651">
        <v>10</v>
      </c>
      <c r="F468" s="651" t="s">
        <v>1363</v>
      </c>
      <c r="G468" s="651">
        <v>25</v>
      </c>
      <c r="H468" s="653"/>
      <c r="I468" s="653">
        <v>3.56</v>
      </c>
      <c r="J468" s="653">
        <v>0</v>
      </c>
      <c r="K468" s="651"/>
      <c r="L468" s="651"/>
      <c r="M468" s="651"/>
      <c r="N468" s="651"/>
      <c r="O468" s="651"/>
      <c r="P468" s="651"/>
    </row>
    <row r="469" spans="1:16" ht="18.75">
      <c r="A469" s="652">
        <v>465</v>
      </c>
      <c r="B469" s="652" t="s">
        <v>876</v>
      </c>
      <c r="C469" s="651" t="s">
        <v>1373</v>
      </c>
      <c r="D469" s="651">
        <v>1981</v>
      </c>
      <c r="E469" s="651">
        <v>10</v>
      </c>
      <c r="F469" s="651" t="s">
        <v>1363</v>
      </c>
      <c r="G469" s="651">
        <v>33</v>
      </c>
      <c r="H469" s="653"/>
      <c r="I469" s="653">
        <v>0.75</v>
      </c>
      <c r="J469" s="653">
        <v>0</v>
      </c>
      <c r="K469" s="651"/>
      <c r="L469" s="651"/>
      <c r="M469" s="651"/>
      <c r="N469" s="651"/>
      <c r="O469" s="651"/>
      <c r="P469" s="651"/>
    </row>
    <row r="470" spans="1:16" ht="18.75">
      <c r="A470" s="652">
        <v>466</v>
      </c>
      <c r="B470" s="652" t="s">
        <v>850</v>
      </c>
      <c r="C470" s="651" t="s">
        <v>1372</v>
      </c>
      <c r="D470" s="651">
        <v>1993</v>
      </c>
      <c r="E470" s="651">
        <v>10</v>
      </c>
      <c r="F470" s="651" t="s">
        <v>1363</v>
      </c>
      <c r="G470" s="651">
        <v>26</v>
      </c>
      <c r="H470" s="653"/>
      <c r="I470" s="653">
        <v>6.5</v>
      </c>
      <c r="J470" s="653">
        <v>0</v>
      </c>
      <c r="K470" s="651"/>
      <c r="L470" s="654"/>
      <c r="M470" s="651"/>
      <c r="N470" s="653"/>
      <c r="O470" s="651"/>
      <c r="P470" s="651"/>
    </row>
    <row r="471" spans="1:16" ht="18.75">
      <c r="A471" s="652">
        <v>467</v>
      </c>
      <c r="B471" s="652" t="s">
        <v>850</v>
      </c>
      <c r="C471" s="651" t="s">
        <v>1372</v>
      </c>
      <c r="D471" s="651">
        <v>1993</v>
      </c>
      <c r="E471" s="651">
        <v>10</v>
      </c>
      <c r="F471" s="651" t="s">
        <v>1363</v>
      </c>
      <c r="G471" s="651">
        <v>26</v>
      </c>
      <c r="H471" s="653"/>
      <c r="I471" s="653">
        <v>1.32</v>
      </c>
      <c r="J471" s="653">
        <v>0</v>
      </c>
      <c r="K471" s="651"/>
      <c r="L471" s="651"/>
      <c r="M471" s="651"/>
      <c r="N471" s="651"/>
      <c r="O471" s="651"/>
      <c r="P471" s="651"/>
    </row>
    <row r="472" spans="1:16" ht="56.25">
      <c r="A472" s="652">
        <v>468</v>
      </c>
      <c r="B472" s="652" t="s">
        <v>850</v>
      </c>
      <c r="C472" s="651" t="s">
        <v>923</v>
      </c>
      <c r="D472" s="651">
        <v>1995</v>
      </c>
      <c r="E472" s="651">
        <v>10</v>
      </c>
      <c r="F472" s="651" t="s">
        <v>1363</v>
      </c>
      <c r="G472" s="651">
        <v>29</v>
      </c>
      <c r="H472" s="653"/>
      <c r="I472" s="653">
        <v>0.99</v>
      </c>
      <c r="J472" s="653">
        <v>0</v>
      </c>
      <c r="K472" s="651"/>
      <c r="L472" s="654" t="s">
        <v>2286</v>
      </c>
      <c r="M472" s="651" t="s">
        <v>841</v>
      </c>
      <c r="N472" s="655">
        <v>916.7</v>
      </c>
      <c r="O472" s="651">
        <v>23</v>
      </c>
      <c r="P472" s="651"/>
    </row>
    <row r="473" spans="1:16" ht="18.75">
      <c r="A473" s="652">
        <v>469</v>
      </c>
      <c r="B473" s="652" t="s">
        <v>850</v>
      </c>
      <c r="C473" s="651" t="s">
        <v>923</v>
      </c>
      <c r="D473" s="651">
        <v>1993</v>
      </c>
      <c r="E473" s="651">
        <v>10</v>
      </c>
      <c r="F473" s="651" t="s">
        <v>1363</v>
      </c>
      <c r="G473" s="651">
        <v>29</v>
      </c>
      <c r="H473" s="653"/>
      <c r="I473" s="653">
        <v>9.06</v>
      </c>
      <c r="J473" s="653">
        <v>0</v>
      </c>
      <c r="K473" s="651"/>
      <c r="L473" s="651"/>
      <c r="M473" s="651"/>
      <c r="N473" s="651"/>
      <c r="O473" s="651"/>
      <c r="P473" s="651"/>
    </row>
    <row r="474" spans="1:16" ht="18.75">
      <c r="A474" s="652">
        <v>470</v>
      </c>
      <c r="B474" s="652" t="s">
        <v>850</v>
      </c>
      <c r="C474" s="651" t="s">
        <v>1374</v>
      </c>
      <c r="D474" s="651">
        <v>1999</v>
      </c>
      <c r="E474" s="651">
        <v>10</v>
      </c>
      <c r="F474" s="651" t="s">
        <v>1363</v>
      </c>
      <c r="G474" s="651">
        <v>33</v>
      </c>
      <c r="H474" s="653"/>
      <c r="I474" s="653">
        <v>9.28</v>
      </c>
      <c r="J474" s="653">
        <v>0</v>
      </c>
      <c r="K474" s="651"/>
      <c r="L474" s="654"/>
      <c r="M474" s="654"/>
      <c r="N474" s="655"/>
      <c r="O474" s="651"/>
      <c r="P474" s="653"/>
    </row>
    <row r="475" spans="1:16" ht="18.75">
      <c r="A475" s="652">
        <v>471</v>
      </c>
      <c r="B475" s="652" t="s">
        <v>924</v>
      </c>
      <c r="C475" s="651" t="s">
        <v>1199</v>
      </c>
      <c r="D475" s="651">
        <v>2007</v>
      </c>
      <c r="E475" s="651">
        <v>10</v>
      </c>
      <c r="F475" s="651" t="s">
        <v>1363</v>
      </c>
      <c r="G475" s="651" t="s">
        <v>1375</v>
      </c>
      <c r="H475" s="653"/>
      <c r="I475" s="653">
        <v>12</v>
      </c>
      <c r="J475" s="653">
        <v>124.18</v>
      </c>
      <c r="K475" s="651"/>
      <c r="L475" s="654"/>
      <c r="M475" s="651"/>
      <c r="N475" s="653"/>
      <c r="O475" s="651"/>
      <c r="P475" s="653"/>
    </row>
    <row r="476" spans="1:16" ht="18.75">
      <c r="A476" s="652">
        <v>472</v>
      </c>
      <c r="B476" s="652" t="s">
        <v>858</v>
      </c>
      <c r="C476" s="651" t="s">
        <v>1373</v>
      </c>
      <c r="D476" s="651">
        <v>1987</v>
      </c>
      <c r="E476" s="651">
        <v>10</v>
      </c>
      <c r="F476" s="651" t="s">
        <v>1363</v>
      </c>
      <c r="G476" s="651">
        <v>36</v>
      </c>
      <c r="H476" s="653"/>
      <c r="I476" s="653">
        <v>1.64</v>
      </c>
      <c r="J476" s="653">
        <v>0</v>
      </c>
      <c r="K476" s="651"/>
      <c r="L476" s="654"/>
      <c r="M476" s="651"/>
      <c r="N476" s="656"/>
      <c r="O476" s="651"/>
      <c r="P476" s="653"/>
    </row>
    <row r="477" spans="1:16" ht="18.75">
      <c r="A477" s="652">
        <v>473</v>
      </c>
      <c r="B477" s="652" t="s">
        <v>957</v>
      </c>
      <c r="C477" s="651" t="s">
        <v>836</v>
      </c>
      <c r="D477" s="651">
        <v>1985</v>
      </c>
      <c r="E477" s="651">
        <v>10</v>
      </c>
      <c r="F477" s="651" t="s">
        <v>1363</v>
      </c>
      <c r="G477" s="651">
        <v>43</v>
      </c>
      <c r="H477" s="653"/>
      <c r="I477" s="653">
        <v>0.24</v>
      </c>
      <c r="J477" s="653">
        <v>0</v>
      </c>
      <c r="K477" s="651"/>
      <c r="L477" s="654"/>
      <c r="M477" s="654"/>
      <c r="N477" s="655"/>
      <c r="O477" s="651"/>
      <c r="P477" s="653"/>
    </row>
    <row r="478" spans="1:16" ht="18.75">
      <c r="A478" s="652">
        <v>474</v>
      </c>
      <c r="B478" s="652" t="s">
        <v>1213</v>
      </c>
      <c r="C478" s="651" t="s">
        <v>874</v>
      </c>
      <c r="D478" s="651">
        <v>1992</v>
      </c>
      <c r="E478" s="651">
        <v>10</v>
      </c>
      <c r="F478" s="651" t="s">
        <v>1363</v>
      </c>
      <c r="G478" s="651">
        <v>38</v>
      </c>
      <c r="H478" s="653"/>
      <c r="I478" s="653">
        <v>0.84</v>
      </c>
      <c r="J478" s="653">
        <v>0</v>
      </c>
      <c r="K478" s="651"/>
      <c r="L478" s="654"/>
      <c r="M478" s="651"/>
      <c r="N478" s="653"/>
      <c r="O478" s="651"/>
      <c r="P478" s="651"/>
    </row>
    <row r="479" spans="1:16" ht="18.75">
      <c r="A479" s="652">
        <v>475</v>
      </c>
      <c r="B479" s="652" t="s">
        <v>961</v>
      </c>
      <c r="C479" s="651" t="s">
        <v>931</v>
      </c>
      <c r="D479" s="651">
        <v>1977</v>
      </c>
      <c r="E479" s="651">
        <v>10</v>
      </c>
      <c r="F479" s="651" t="s">
        <v>1363</v>
      </c>
      <c r="G479" s="651">
        <v>42</v>
      </c>
      <c r="H479" s="653"/>
      <c r="I479" s="653">
        <v>0</v>
      </c>
      <c r="J479" s="653">
        <v>0</v>
      </c>
      <c r="K479" s="651"/>
      <c r="L479" s="654"/>
      <c r="M479" s="651"/>
      <c r="N479" s="655"/>
      <c r="O479" s="651"/>
      <c r="P479" s="651"/>
    </row>
    <row r="480" spans="1:16" ht="18.75">
      <c r="A480" s="652">
        <v>476</v>
      </c>
      <c r="B480" s="652" t="s">
        <v>831</v>
      </c>
      <c r="C480" s="651" t="s">
        <v>1376</v>
      </c>
      <c r="D480" s="651">
        <v>1991</v>
      </c>
      <c r="E480" s="651">
        <v>10</v>
      </c>
      <c r="F480" s="651" t="s">
        <v>1363</v>
      </c>
      <c r="G480" s="651" t="s">
        <v>1377</v>
      </c>
      <c r="H480" s="653"/>
      <c r="I480" s="653">
        <v>11.67</v>
      </c>
      <c r="J480" s="653">
        <v>0</v>
      </c>
      <c r="K480" s="651"/>
      <c r="L480" s="654"/>
      <c r="M480" s="651"/>
      <c r="N480" s="653"/>
      <c r="O480" s="651"/>
      <c r="P480" s="651"/>
    </row>
    <row r="481" spans="1:16" ht="18.75">
      <c r="A481" s="652">
        <v>477</v>
      </c>
      <c r="B481" s="652" t="s">
        <v>1187</v>
      </c>
      <c r="C481" s="651" t="s">
        <v>1378</v>
      </c>
      <c r="D481" s="651">
        <v>1991</v>
      </c>
      <c r="E481" s="651">
        <v>10</v>
      </c>
      <c r="F481" s="651" t="s">
        <v>1363</v>
      </c>
      <c r="G481" s="651" t="s">
        <v>1379</v>
      </c>
      <c r="H481" s="653"/>
      <c r="I481" s="653">
        <v>12.52</v>
      </c>
      <c r="J481" s="653">
        <v>0</v>
      </c>
      <c r="K481" s="651"/>
      <c r="L481" s="651"/>
      <c r="M481" s="651"/>
      <c r="N481" s="651"/>
      <c r="O481" s="651"/>
      <c r="P481" s="651"/>
    </row>
    <row r="482" spans="1:16" ht="18.75">
      <c r="A482" s="652">
        <v>478</v>
      </c>
      <c r="B482" s="652" t="s">
        <v>1380</v>
      </c>
      <c r="C482" s="651" t="s">
        <v>1381</v>
      </c>
      <c r="D482" s="651">
        <v>2008</v>
      </c>
      <c r="E482" s="651">
        <v>10</v>
      </c>
      <c r="F482" s="651" t="s">
        <v>1363</v>
      </c>
      <c r="G482" s="651" t="s">
        <v>1382</v>
      </c>
      <c r="H482" s="653"/>
      <c r="I482" s="653">
        <v>16.49</v>
      </c>
      <c r="J482" s="653">
        <v>109.38</v>
      </c>
      <c r="K482" s="651"/>
      <c r="L482" s="651"/>
      <c r="M482" s="651"/>
      <c r="N482" s="651"/>
      <c r="O482" s="651"/>
      <c r="P482" s="651"/>
    </row>
    <row r="483" spans="1:16" ht="18.75">
      <c r="A483" s="652">
        <v>479</v>
      </c>
      <c r="B483" s="652" t="s">
        <v>1383</v>
      </c>
      <c r="C483" s="651" t="s">
        <v>1381</v>
      </c>
      <c r="D483" s="651">
        <v>1992</v>
      </c>
      <c r="E483" s="651">
        <v>10</v>
      </c>
      <c r="F483" s="651" t="s">
        <v>1363</v>
      </c>
      <c r="G483" s="651" t="s">
        <v>1382</v>
      </c>
      <c r="H483" s="653"/>
      <c r="I483" s="653">
        <v>5.99</v>
      </c>
      <c r="J483" s="653">
        <v>0</v>
      </c>
      <c r="K483" s="651"/>
      <c r="L483" s="651"/>
      <c r="M483" s="651"/>
      <c r="N483" s="651"/>
      <c r="O483" s="651"/>
      <c r="P483" s="651"/>
    </row>
    <row r="484" spans="1:16" ht="18.75">
      <c r="A484" s="652">
        <v>480</v>
      </c>
      <c r="B484" s="652" t="s">
        <v>1383</v>
      </c>
      <c r="C484" s="651" t="s">
        <v>1381</v>
      </c>
      <c r="D484" s="651">
        <v>1991</v>
      </c>
      <c r="E484" s="651">
        <v>10</v>
      </c>
      <c r="F484" s="651" t="s">
        <v>1363</v>
      </c>
      <c r="G484" s="651" t="s">
        <v>1382</v>
      </c>
      <c r="H484" s="653"/>
      <c r="I484" s="653">
        <v>1.1</v>
      </c>
      <c r="J484" s="653">
        <v>0</v>
      </c>
      <c r="K484" s="651"/>
      <c r="L484" s="654"/>
      <c r="M484" s="651"/>
      <c r="N484" s="653"/>
      <c r="O484" s="651"/>
      <c r="P484" s="651"/>
    </row>
    <row r="485" spans="1:16" ht="18.75">
      <c r="A485" s="652">
        <v>481</v>
      </c>
      <c r="B485" s="652" t="s">
        <v>932</v>
      </c>
      <c r="C485" s="651" t="s">
        <v>1373</v>
      </c>
      <c r="D485" s="651">
        <v>2012</v>
      </c>
      <c r="E485" s="651">
        <v>10</v>
      </c>
      <c r="F485" s="651" t="s">
        <v>1363</v>
      </c>
      <c r="G485" s="651">
        <v>18</v>
      </c>
      <c r="H485" s="653"/>
      <c r="I485" s="653">
        <v>2.87</v>
      </c>
      <c r="J485" s="653">
        <v>341.67</v>
      </c>
      <c r="K485" s="651"/>
      <c r="L485" s="651"/>
      <c r="M485" s="651"/>
      <c r="N485" s="651"/>
      <c r="O485" s="651"/>
      <c r="P485" s="651"/>
    </row>
    <row r="486" spans="1:16" ht="18.75">
      <c r="A486" s="652">
        <v>482</v>
      </c>
      <c r="B486" s="652" t="s">
        <v>975</v>
      </c>
      <c r="C486" s="651" t="s">
        <v>1369</v>
      </c>
      <c r="D486" s="651">
        <v>2011</v>
      </c>
      <c r="E486" s="651">
        <v>10</v>
      </c>
      <c r="F486" s="651" t="s">
        <v>1363</v>
      </c>
      <c r="G486" s="651" t="s">
        <v>1384</v>
      </c>
      <c r="H486" s="653"/>
      <c r="I486" s="653">
        <v>4.91</v>
      </c>
      <c r="J486" s="653">
        <v>137.82</v>
      </c>
      <c r="K486" s="651"/>
      <c r="L486" s="651"/>
      <c r="M486" s="651"/>
      <c r="N486" s="651"/>
      <c r="O486" s="651"/>
      <c r="P486" s="651"/>
    </row>
    <row r="487" spans="1:16" ht="18.75">
      <c r="A487" s="652">
        <v>483</v>
      </c>
      <c r="B487" s="652" t="s">
        <v>955</v>
      </c>
      <c r="C487" s="651" t="s">
        <v>1376</v>
      </c>
      <c r="D487" s="651">
        <v>1989</v>
      </c>
      <c r="E487" s="651">
        <v>10</v>
      </c>
      <c r="F487" s="651" t="s">
        <v>1363</v>
      </c>
      <c r="G487" s="651">
        <v>44</v>
      </c>
      <c r="H487" s="653"/>
      <c r="I487" s="653">
        <v>1.11</v>
      </c>
      <c r="J487" s="653">
        <v>0</v>
      </c>
      <c r="K487" s="651"/>
      <c r="L487" s="651"/>
      <c r="M487" s="651"/>
      <c r="N487" s="651"/>
      <c r="O487" s="651"/>
      <c r="P487" s="651"/>
    </row>
    <row r="488" spans="1:16" ht="18.75">
      <c r="A488" s="652">
        <v>484</v>
      </c>
      <c r="B488" s="652" t="s">
        <v>1385</v>
      </c>
      <c r="C488" s="651" t="s">
        <v>1269</v>
      </c>
      <c r="D488" s="651">
        <v>1986</v>
      </c>
      <c r="E488" s="651">
        <v>10</v>
      </c>
      <c r="F488" s="651" t="s">
        <v>1363</v>
      </c>
      <c r="G488" s="651"/>
      <c r="H488" s="653"/>
      <c r="I488" s="653">
        <v>0.67</v>
      </c>
      <c r="J488" s="653">
        <v>0</v>
      </c>
      <c r="K488" s="651"/>
      <c r="L488" s="654"/>
      <c r="M488" s="654"/>
      <c r="N488" s="655"/>
      <c r="O488" s="651"/>
      <c r="P488" s="653"/>
    </row>
    <row r="489" spans="1:16" ht="18.75">
      <c r="A489" s="652">
        <v>485</v>
      </c>
      <c r="B489" s="652" t="s">
        <v>1386</v>
      </c>
      <c r="C489" s="651" t="s">
        <v>1269</v>
      </c>
      <c r="D489" s="651">
        <v>1983</v>
      </c>
      <c r="E489" s="651">
        <v>10</v>
      </c>
      <c r="F489" s="651" t="s">
        <v>1363</v>
      </c>
      <c r="G489" s="651"/>
      <c r="H489" s="653"/>
      <c r="I489" s="653">
        <v>0.28</v>
      </c>
      <c r="J489" s="653">
        <v>0</v>
      </c>
      <c r="K489" s="651"/>
      <c r="L489" s="654"/>
      <c r="M489" s="651"/>
      <c r="N489" s="653"/>
      <c r="O489" s="651"/>
      <c r="P489" s="653"/>
    </row>
    <row r="490" spans="1:16" ht="18.75">
      <c r="A490" s="652">
        <v>486</v>
      </c>
      <c r="B490" s="652" t="s">
        <v>1387</v>
      </c>
      <c r="C490" s="651" t="s">
        <v>1388</v>
      </c>
      <c r="D490" s="651">
        <v>1985</v>
      </c>
      <c r="E490" s="651">
        <v>10</v>
      </c>
      <c r="F490" s="651" t="s">
        <v>1363</v>
      </c>
      <c r="G490" s="651" t="s">
        <v>1389</v>
      </c>
      <c r="H490" s="653"/>
      <c r="I490" s="653">
        <v>0</v>
      </c>
      <c r="J490" s="653">
        <v>0</v>
      </c>
      <c r="K490" s="651"/>
      <c r="L490" s="654"/>
      <c r="M490" s="651"/>
      <c r="N490" s="656"/>
      <c r="O490" s="651"/>
      <c r="P490" s="653"/>
    </row>
    <row r="491" spans="1:16" ht="18.75">
      <c r="A491" s="652">
        <v>487</v>
      </c>
      <c r="B491" s="652" t="s">
        <v>1390</v>
      </c>
      <c r="C491" s="651" t="s">
        <v>1391</v>
      </c>
      <c r="D491" s="651">
        <v>1980</v>
      </c>
      <c r="E491" s="651">
        <v>10</v>
      </c>
      <c r="F491" s="651" t="s">
        <v>1363</v>
      </c>
      <c r="G491" s="651">
        <v>8</v>
      </c>
      <c r="H491" s="653"/>
      <c r="I491" s="653">
        <v>0</v>
      </c>
      <c r="J491" s="653">
        <v>0</v>
      </c>
      <c r="K491" s="651"/>
      <c r="L491" s="654"/>
      <c r="M491" s="654"/>
      <c r="N491" s="655"/>
      <c r="O491" s="651"/>
      <c r="P491" s="653"/>
    </row>
    <row r="492" spans="1:16" ht="18.75">
      <c r="A492" s="652">
        <v>488</v>
      </c>
      <c r="B492" s="651" t="s">
        <v>1392</v>
      </c>
      <c r="C492" s="651" t="s">
        <v>853</v>
      </c>
      <c r="D492" s="651">
        <v>1999</v>
      </c>
      <c r="E492" s="651">
        <v>10</v>
      </c>
      <c r="F492" s="651" t="s">
        <v>1393</v>
      </c>
      <c r="G492" s="651">
        <v>8.7</v>
      </c>
      <c r="H492" s="653">
        <v>248.31</v>
      </c>
      <c r="I492" s="653">
        <v>1.74</v>
      </c>
      <c r="J492" s="653">
        <v>0</v>
      </c>
      <c r="K492" s="651"/>
      <c r="L492" s="654"/>
      <c r="M492" s="651"/>
      <c r="N492" s="653"/>
      <c r="O492" s="651"/>
      <c r="P492" s="651"/>
    </row>
    <row r="493" spans="1:16" ht="18.75">
      <c r="A493" s="652">
        <v>489</v>
      </c>
      <c r="B493" s="651" t="s">
        <v>855</v>
      </c>
      <c r="C493" s="651" t="s">
        <v>1394</v>
      </c>
      <c r="D493" s="651">
        <v>1999</v>
      </c>
      <c r="E493" s="651">
        <v>10</v>
      </c>
      <c r="F493" s="651" t="s">
        <v>1393</v>
      </c>
      <c r="G493" s="651">
        <v>17.8</v>
      </c>
      <c r="H493" s="653">
        <v>635.44</v>
      </c>
      <c r="I493" s="653">
        <v>4.44</v>
      </c>
      <c r="J493" s="653">
        <v>0</v>
      </c>
      <c r="K493" s="651"/>
      <c r="L493" s="654"/>
      <c r="M493" s="651"/>
      <c r="N493" s="655"/>
      <c r="O493" s="651"/>
      <c r="P493" s="651"/>
    </row>
    <row r="494" spans="1:16" ht="31.5">
      <c r="A494" s="652">
        <v>490</v>
      </c>
      <c r="B494" s="651" t="s">
        <v>1117</v>
      </c>
      <c r="C494" s="651" t="s">
        <v>1394</v>
      </c>
      <c r="D494" s="651">
        <v>1994</v>
      </c>
      <c r="E494" s="651">
        <v>10</v>
      </c>
      <c r="F494" s="651" t="s">
        <v>1393</v>
      </c>
      <c r="G494" s="651">
        <v>17.8</v>
      </c>
      <c r="H494" s="653">
        <v>51.47</v>
      </c>
      <c r="I494" s="653">
        <v>0.36</v>
      </c>
      <c r="J494" s="653">
        <v>0</v>
      </c>
      <c r="K494" s="651"/>
      <c r="L494" s="1411" t="s">
        <v>1344</v>
      </c>
      <c r="M494" s="1411" t="s">
        <v>2411</v>
      </c>
      <c r="N494" s="1411">
        <v>281.89</v>
      </c>
      <c r="O494" s="1411">
        <v>17</v>
      </c>
      <c r="P494" s="651"/>
    </row>
    <row r="495" spans="1:16" ht="18.75">
      <c r="A495" s="652">
        <v>491</v>
      </c>
      <c r="B495" s="651" t="s">
        <v>883</v>
      </c>
      <c r="C495" s="651" t="s">
        <v>1394</v>
      </c>
      <c r="D495" s="651">
        <v>1998</v>
      </c>
      <c r="E495" s="651">
        <v>10</v>
      </c>
      <c r="F495" s="651" t="s">
        <v>1393</v>
      </c>
      <c r="G495" s="651">
        <v>15.8</v>
      </c>
      <c r="H495" s="653">
        <v>0.1</v>
      </c>
      <c r="I495" s="653">
        <v>0.6</v>
      </c>
      <c r="J495" s="653">
        <v>0</v>
      </c>
      <c r="K495" s="651"/>
      <c r="L495" s="651"/>
      <c r="M495" s="651"/>
      <c r="N495" s="651"/>
      <c r="O495" s="651"/>
      <c r="P495" s="651"/>
    </row>
    <row r="496" spans="1:16" ht="18.75">
      <c r="A496" s="652">
        <v>492</v>
      </c>
      <c r="B496" s="651" t="s">
        <v>876</v>
      </c>
      <c r="C496" s="651" t="s">
        <v>1395</v>
      </c>
      <c r="D496" s="651">
        <v>1992</v>
      </c>
      <c r="E496" s="651">
        <v>10</v>
      </c>
      <c r="F496" s="651" t="s">
        <v>1393</v>
      </c>
      <c r="G496" s="651" t="s">
        <v>1396</v>
      </c>
      <c r="H496" s="653">
        <v>0</v>
      </c>
      <c r="I496" s="653">
        <v>0</v>
      </c>
      <c r="J496" s="653">
        <v>0</v>
      </c>
      <c r="K496" s="651"/>
      <c r="L496" s="651"/>
      <c r="M496" s="651"/>
      <c r="N496" s="651"/>
      <c r="O496" s="651"/>
      <c r="P496" s="651"/>
    </row>
    <row r="497" spans="1:16" ht="56.25">
      <c r="A497" s="652">
        <v>493</v>
      </c>
      <c r="B497" s="651" t="s">
        <v>875</v>
      </c>
      <c r="C497" s="651" t="s">
        <v>1397</v>
      </c>
      <c r="D497" s="651">
        <v>1974</v>
      </c>
      <c r="E497" s="651">
        <v>10</v>
      </c>
      <c r="F497" s="651" t="s">
        <v>1393</v>
      </c>
      <c r="G497" s="651" t="s">
        <v>1398</v>
      </c>
      <c r="H497" s="653">
        <v>0</v>
      </c>
      <c r="I497" s="653">
        <v>0.4</v>
      </c>
      <c r="J497" s="653">
        <v>0</v>
      </c>
      <c r="K497" s="651"/>
      <c r="L497" s="654" t="s">
        <v>2286</v>
      </c>
      <c r="M497" s="651" t="s">
        <v>841</v>
      </c>
      <c r="N497" s="655">
        <v>597.61</v>
      </c>
      <c r="O497" s="651">
        <v>23</v>
      </c>
      <c r="P497" s="651"/>
    </row>
    <row r="498" spans="1:16" ht="18.75">
      <c r="A498" s="652">
        <v>494</v>
      </c>
      <c r="B498" s="651" t="s">
        <v>875</v>
      </c>
      <c r="C498" s="651" t="s">
        <v>1399</v>
      </c>
      <c r="D498" s="651">
        <v>1991</v>
      </c>
      <c r="E498" s="651">
        <v>10</v>
      </c>
      <c r="F498" s="651" t="s">
        <v>1393</v>
      </c>
      <c r="G498" s="651">
        <v>26.7</v>
      </c>
      <c r="H498" s="653">
        <v>0.05</v>
      </c>
      <c r="I498" s="653">
        <v>0.9</v>
      </c>
      <c r="J498" s="653">
        <v>0</v>
      </c>
      <c r="K498" s="651"/>
      <c r="L498" s="654"/>
      <c r="M498" s="651"/>
      <c r="N498" s="653"/>
      <c r="O498" s="651"/>
      <c r="P498" s="651"/>
    </row>
    <row r="499" spans="1:16" ht="18.75">
      <c r="A499" s="652">
        <v>495</v>
      </c>
      <c r="B499" s="651" t="s">
        <v>955</v>
      </c>
      <c r="C499" s="651" t="s">
        <v>931</v>
      </c>
      <c r="D499" s="651">
        <v>1992</v>
      </c>
      <c r="E499" s="651">
        <v>10</v>
      </c>
      <c r="F499" s="651" t="s">
        <v>1393</v>
      </c>
      <c r="G499" s="651" t="s">
        <v>1400</v>
      </c>
      <c r="H499" s="653">
        <v>0.05</v>
      </c>
      <c r="I499" s="653">
        <v>0.3</v>
      </c>
      <c r="J499" s="653">
        <v>0</v>
      </c>
      <c r="K499" s="651"/>
      <c r="L499" s="651"/>
      <c r="M499" s="651"/>
      <c r="N499" s="651"/>
      <c r="O499" s="651"/>
      <c r="P499" s="651"/>
    </row>
    <row r="500" spans="1:16" ht="18.75">
      <c r="A500" s="652">
        <v>496</v>
      </c>
      <c r="B500" s="651" t="s">
        <v>1401</v>
      </c>
      <c r="C500" s="651" t="s">
        <v>849</v>
      </c>
      <c r="D500" s="651">
        <v>1985</v>
      </c>
      <c r="E500" s="651">
        <v>10</v>
      </c>
      <c r="F500" s="651" t="s">
        <v>1393</v>
      </c>
      <c r="G500" s="651" t="s">
        <v>1402</v>
      </c>
      <c r="H500" s="653">
        <v>0</v>
      </c>
      <c r="I500" s="653">
        <v>0</v>
      </c>
      <c r="J500" s="653">
        <v>0</v>
      </c>
      <c r="K500" s="651"/>
      <c r="L500" s="651"/>
      <c r="M500" s="651"/>
      <c r="N500" s="651"/>
      <c r="O500" s="651"/>
      <c r="P500" s="651"/>
    </row>
    <row r="501" spans="1:16" ht="18.75">
      <c r="A501" s="652">
        <v>497</v>
      </c>
      <c r="B501" s="651" t="s">
        <v>875</v>
      </c>
      <c r="C501" s="651" t="s">
        <v>1399</v>
      </c>
      <c r="D501" s="651">
        <v>1991</v>
      </c>
      <c r="E501" s="651">
        <v>10</v>
      </c>
      <c r="F501" s="651" t="s">
        <v>1393</v>
      </c>
      <c r="G501" s="651">
        <v>26.7</v>
      </c>
      <c r="H501" s="653">
        <v>0</v>
      </c>
      <c r="I501" s="653">
        <v>0</v>
      </c>
      <c r="J501" s="653">
        <v>0</v>
      </c>
      <c r="K501" s="651"/>
      <c r="L501" s="651"/>
      <c r="M501" s="651"/>
      <c r="N501" s="651"/>
      <c r="O501" s="651"/>
      <c r="P501" s="651"/>
    </row>
    <row r="502" spans="1:16" ht="37.5">
      <c r="A502" s="652">
        <v>498</v>
      </c>
      <c r="B502" s="651" t="s">
        <v>850</v>
      </c>
      <c r="C502" s="651" t="s">
        <v>1397</v>
      </c>
      <c r="D502" s="651">
        <v>2005</v>
      </c>
      <c r="E502" s="651">
        <v>10</v>
      </c>
      <c r="F502" s="651" t="s">
        <v>1393</v>
      </c>
      <c r="G502" s="651" t="s">
        <v>1403</v>
      </c>
      <c r="H502" s="653">
        <v>0.1</v>
      </c>
      <c r="I502" s="653">
        <v>0.7</v>
      </c>
      <c r="J502" s="653">
        <v>0</v>
      </c>
      <c r="K502" s="651"/>
      <c r="L502" s="654"/>
      <c r="M502" s="654"/>
      <c r="N502" s="655"/>
      <c r="O502" s="651"/>
      <c r="P502" s="653"/>
    </row>
    <row r="503" spans="1:16" ht="18.75">
      <c r="A503" s="652">
        <v>499</v>
      </c>
      <c r="B503" s="651" t="s">
        <v>855</v>
      </c>
      <c r="C503" s="651" t="s">
        <v>1394</v>
      </c>
      <c r="D503" s="651">
        <v>1999</v>
      </c>
      <c r="E503" s="651">
        <v>10</v>
      </c>
      <c r="F503" s="651" t="s">
        <v>1393</v>
      </c>
      <c r="G503" s="651">
        <v>17.8</v>
      </c>
      <c r="H503" s="653">
        <v>0</v>
      </c>
      <c r="I503" s="653">
        <v>0</v>
      </c>
      <c r="J503" s="653">
        <v>0</v>
      </c>
      <c r="K503" s="651"/>
      <c r="L503" s="654"/>
      <c r="M503" s="651"/>
      <c r="N503" s="653"/>
      <c r="O503" s="651"/>
      <c r="P503" s="653"/>
    </row>
    <row r="504" spans="1:16" ht="18.75">
      <c r="A504" s="652">
        <v>500</v>
      </c>
      <c r="B504" s="651" t="s">
        <v>850</v>
      </c>
      <c r="C504" s="651" t="s">
        <v>838</v>
      </c>
      <c r="D504" s="651">
        <v>1992</v>
      </c>
      <c r="E504" s="651">
        <v>10</v>
      </c>
      <c r="F504" s="651" t="s">
        <v>1393</v>
      </c>
      <c r="G504" s="651">
        <v>24.5</v>
      </c>
      <c r="H504" s="653">
        <v>0</v>
      </c>
      <c r="I504" s="653">
        <v>0</v>
      </c>
      <c r="J504" s="653">
        <v>0</v>
      </c>
      <c r="K504" s="651"/>
      <c r="L504" s="654"/>
      <c r="M504" s="651"/>
      <c r="N504" s="656"/>
      <c r="O504" s="651"/>
      <c r="P504" s="653"/>
    </row>
    <row r="505" spans="1:16" ht="18.75">
      <c r="A505" s="652">
        <v>501</v>
      </c>
      <c r="B505" s="651" t="s">
        <v>1404</v>
      </c>
      <c r="C505" s="651" t="s">
        <v>1405</v>
      </c>
      <c r="D505" s="651">
        <v>1984</v>
      </c>
      <c r="E505" s="651">
        <v>10</v>
      </c>
      <c r="F505" s="651" t="s">
        <v>1393</v>
      </c>
      <c r="G505" s="651" t="s">
        <v>1406</v>
      </c>
      <c r="H505" s="653">
        <v>0</v>
      </c>
      <c r="I505" s="653">
        <v>0</v>
      </c>
      <c r="J505" s="653">
        <v>0</v>
      </c>
      <c r="K505" s="651"/>
      <c r="L505" s="654"/>
      <c r="M505" s="654"/>
      <c r="N505" s="655"/>
      <c r="O505" s="651"/>
      <c r="P505" s="653"/>
    </row>
    <row r="506" spans="1:16" ht="18.75">
      <c r="A506" s="652">
        <v>502</v>
      </c>
      <c r="B506" s="651" t="s">
        <v>891</v>
      </c>
      <c r="C506" s="651" t="s">
        <v>849</v>
      </c>
      <c r="D506" s="651">
        <v>1987</v>
      </c>
      <c r="E506" s="651">
        <v>10</v>
      </c>
      <c r="F506" s="651" t="s">
        <v>1393</v>
      </c>
      <c r="G506" s="651" t="s">
        <v>1407</v>
      </c>
      <c r="H506" s="653">
        <v>0</v>
      </c>
      <c r="I506" s="653">
        <v>0</v>
      </c>
      <c r="J506" s="653">
        <v>0</v>
      </c>
      <c r="K506" s="651"/>
      <c r="L506" s="654"/>
      <c r="M506" s="651"/>
      <c r="N506" s="653"/>
      <c r="O506" s="651"/>
      <c r="P506" s="651"/>
    </row>
    <row r="507" spans="1:16" ht="18.75">
      <c r="A507" s="652">
        <v>503</v>
      </c>
      <c r="B507" s="651" t="s">
        <v>1408</v>
      </c>
      <c r="C507" s="651" t="s">
        <v>849</v>
      </c>
      <c r="D507" s="651">
        <v>1992</v>
      </c>
      <c r="E507" s="651">
        <v>10</v>
      </c>
      <c r="F507" s="651" t="s">
        <v>1393</v>
      </c>
      <c r="G507" s="651" t="s">
        <v>1407</v>
      </c>
      <c r="H507" s="653">
        <v>0.08</v>
      </c>
      <c r="I507" s="653">
        <v>0.5</v>
      </c>
      <c r="J507" s="653">
        <v>0</v>
      </c>
      <c r="K507" s="651"/>
      <c r="L507" s="654"/>
      <c r="M507" s="651"/>
      <c r="N507" s="655"/>
      <c r="O507" s="651"/>
      <c r="P507" s="651"/>
    </row>
    <row r="508" spans="1:16" ht="37.5">
      <c r="A508" s="652">
        <v>504</v>
      </c>
      <c r="B508" s="651" t="s">
        <v>1409</v>
      </c>
      <c r="C508" s="651" t="s">
        <v>1410</v>
      </c>
      <c r="D508" s="651">
        <v>1993</v>
      </c>
      <c r="E508" s="651">
        <v>10</v>
      </c>
      <c r="F508" s="651" t="s">
        <v>1393</v>
      </c>
      <c r="G508" s="651">
        <v>26.8</v>
      </c>
      <c r="H508" s="653">
        <v>0</v>
      </c>
      <c r="I508" s="653">
        <v>0</v>
      </c>
      <c r="J508" s="653">
        <v>0</v>
      </c>
      <c r="K508" s="651"/>
      <c r="L508" s="654"/>
      <c r="M508" s="651"/>
      <c r="N508" s="653"/>
      <c r="O508" s="651"/>
      <c r="P508" s="651"/>
    </row>
    <row r="509" spans="1:16" ht="18.75">
      <c r="A509" s="652">
        <v>505</v>
      </c>
      <c r="B509" s="651" t="s">
        <v>894</v>
      </c>
      <c r="C509" s="651" t="s">
        <v>893</v>
      </c>
      <c r="D509" s="651">
        <v>1991</v>
      </c>
      <c r="E509" s="651">
        <v>10</v>
      </c>
      <c r="F509" s="651" t="s">
        <v>1393</v>
      </c>
      <c r="G509" s="651">
        <v>0</v>
      </c>
      <c r="H509" s="653">
        <v>0</v>
      </c>
      <c r="I509" s="653">
        <v>0</v>
      </c>
      <c r="J509" s="653">
        <v>0</v>
      </c>
      <c r="K509" s="651"/>
      <c r="L509" s="654"/>
      <c r="M509" s="651"/>
      <c r="N509" s="653"/>
      <c r="O509" s="651"/>
      <c r="P509" s="651"/>
    </row>
    <row r="510" spans="1:16" ht="18.75">
      <c r="A510" s="652">
        <v>506</v>
      </c>
      <c r="B510" s="651" t="s">
        <v>894</v>
      </c>
      <c r="C510" s="651" t="s">
        <v>893</v>
      </c>
      <c r="D510" s="651">
        <v>1991</v>
      </c>
      <c r="E510" s="651">
        <v>10</v>
      </c>
      <c r="F510" s="651" t="s">
        <v>1393</v>
      </c>
      <c r="G510" s="651">
        <v>0</v>
      </c>
      <c r="H510" s="653">
        <v>0</v>
      </c>
      <c r="I510" s="653">
        <v>0</v>
      </c>
      <c r="J510" s="653">
        <v>0</v>
      </c>
      <c r="K510" s="651"/>
      <c r="L510" s="654"/>
      <c r="M510" s="651"/>
      <c r="N510" s="653"/>
      <c r="O510" s="651"/>
      <c r="P510" s="651"/>
    </row>
    <row r="511" spans="1:16" ht="37.5">
      <c r="A511" s="652">
        <v>507</v>
      </c>
      <c r="B511" s="673" t="s">
        <v>1411</v>
      </c>
      <c r="C511" s="651" t="s">
        <v>838</v>
      </c>
      <c r="D511" s="673">
        <v>1994</v>
      </c>
      <c r="E511" s="651">
        <v>8</v>
      </c>
      <c r="F511" s="673" t="s">
        <v>842</v>
      </c>
      <c r="G511" s="651">
        <v>22</v>
      </c>
      <c r="H511" s="653">
        <v>0.75</v>
      </c>
      <c r="I511" s="653">
        <v>9.09</v>
      </c>
      <c r="J511" s="653"/>
      <c r="K511" s="651"/>
      <c r="L511" s="651"/>
      <c r="M511" s="651"/>
      <c r="N511" s="651"/>
      <c r="O511" s="651"/>
      <c r="P511" s="651"/>
    </row>
    <row r="512" spans="1:16" ht="18.75">
      <c r="A512" s="652">
        <v>508</v>
      </c>
      <c r="B512" s="673" t="s">
        <v>975</v>
      </c>
      <c r="C512" s="651" t="s">
        <v>1412</v>
      </c>
      <c r="D512" s="673">
        <v>2003</v>
      </c>
      <c r="E512" s="651">
        <v>10</v>
      </c>
      <c r="F512" s="673" t="s">
        <v>842</v>
      </c>
      <c r="G512" s="651">
        <v>17.9</v>
      </c>
      <c r="H512" s="653">
        <v>0.08</v>
      </c>
      <c r="I512" s="653">
        <v>0.91</v>
      </c>
      <c r="J512" s="653"/>
      <c r="K512" s="651"/>
      <c r="L512" s="651"/>
      <c r="M512" s="651"/>
      <c r="N512" s="651"/>
      <c r="O512" s="651"/>
      <c r="P512" s="651"/>
    </row>
    <row r="513" spans="1:16" ht="37.5">
      <c r="A513" s="652">
        <v>509</v>
      </c>
      <c r="B513" s="673" t="s">
        <v>1413</v>
      </c>
      <c r="C513" s="651" t="s">
        <v>838</v>
      </c>
      <c r="D513" s="673">
        <v>1990</v>
      </c>
      <c r="E513" s="651">
        <v>10</v>
      </c>
      <c r="F513" s="673" t="s">
        <v>842</v>
      </c>
      <c r="G513" s="651">
        <v>29</v>
      </c>
      <c r="H513" s="653">
        <v>0</v>
      </c>
      <c r="I513" s="653">
        <v>0</v>
      </c>
      <c r="J513" s="653"/>
      <c r="K513" s="651"/>
      <c r="L513" s="651"/>
      <c r="M513" s="651"/>
      <c r="N513" s="651"/>
      <c r="O513" s="651"/>
      <c r="P513" s="651"/>
    </row>
    <row r="514" spans="1:16" ht="18.75">
      <c r="A514" s="652">
        <v>510</v>
      </c>
      <c r="B514" s="673" t="s">
        <v>949</v>
      </c>
      <c r="C514" s="651" t="s">
        <v>836</v>
      </c>
      <c r="D514" s="673">
        <v>1994</v>
      </c>
      <c r="E514" s="651">
        <v>10</v>
      </c>
      <c r="F514" s="673" t="s">
        <v>842</v>
      </c>
      <c r="G514" s="651">
        <v>18</v>
      </c>
      <c r="H514" s="653">
        <v>0</v>
      </c>
      <c r="I514" s="653">
        <v>0</v>
      </c>
      <c r="J514" s="653"/>
      <c r="K514" s="651"/>
      <c r="L514" s="654"/>
      <c r="M514" s="651"/>
      <c r="N514" s="653"/>
      <c r="O514" s="651"/>
      <c r="P514" s="651"/>
    </row>
    <row r="515" spans="1:16" ht="18.75">
      <c r="A515" s="652">
        <v>511</v>
      </c>
      <c r="B515" s="673" t="s">
        <v>1414</v>
      </c>
      <c r="C515" s="651" t="s">
        <v>838</v>
      </c>
      <c r="D515" s="673">
        <v>1987</v>
      </c>
      <c r="E515" s="651">
        <v>8</v>
      </c>
      <c r="F515" s="673" t="s">
        <v>842</v>
      </c>
      <c r="G515" s="651">
        <v>13.9</v>
      </c>
      <c r="H515" s="653">
        <v>0.25</v>
      </c>
      <c r="I515" s="653">
        <v>3.03</v>
      </c>
      <c r="J515" s="653"/>
      <c r="K515" s="651"/>
      <c r="L515" s="651"/>
      <c r="M515" s="651"/>
      <c r="N515" s="651"/>
      <c r="O515" s="651"/>
      <c r="P515" s="651"/>
    </row>
    <row r="516" spans="1:16" ht="18.75">
      <c r="A516" s="652">
        <v>512</v>
      </c>
      <c r="B516" s="673" t="s">
        <v>918</v>
      </c>
      <c r="C516" s="651" t="s">
        <v>853</v>
      </c>
      <c r="D516" s="673">
        <v>1999</v>
      </c>
      <c r="E516" s="651">
        <v>8</v>
      </c>
      <c r="F516" s="673" t="s">
        <v>842</v>
      </c>
      <c r="G516" s="651">
        <v>16.7</v>
      </c>
      <c r="H516" s="653">
        <v>0.26</v>
      </c>
      <c r="I516" s="653">
        <v>3.12</v>
      </c>
      <c r="J516" s="653"/>
      <c r="K516" s="651"/>
      <c r="L516" s="651"/>
      <c r="M516" s="651"/>
      <c r="N516" s="651"/>
      <c r="O516" s="651"/>
      <c r="P516" s="651"/>
    </row>
    <row r="517" spans="1:16" ht="18.75">
      <c r="A517" s="652">
        <v>513</v>
      </c>
      <c r="B517" s="673" t="s">
        <v>963</v>
      </c>
      <c r="C517" s="651" t="s">
        <v>838</v>
      </c>
      <c r="D517" s="673">
        <v>1992</v>
      </c>
      <c r="E517" s="651">
        <v>10</v>
      </c>
      <c r="F517" s="673" t="s">
        <v>842</v>
      </c>
      <c r="G517" s="651">
        <v>25</v>
      </c>
      <c r="H517" s="653">
        <v>0</v>
      </c>
      <c r="I517" s="653">
        <v>0</v>
      </c>
      <c r="J517" s="653"/>
      <c r="K517" s="651"/>
      <c r="L517" s="651"/>
      <c r="M517" s="651"/>
      <c r="N517" s="651"/>
      <c r="O517" s="651"/>
      <c r="P517" s="651"/>
    </row>
    <row r="518" spans="1:16" ht="18.75">
      <c r="A518" s="652">
        <v>514</v>
      </c>
      <c r="B518" s="673" t="s">
        <v>1415</v>
      </c>
      <c r="C518" s="651" t="s">
        <v>838</v>
      </c>
      <c r="D518" s="673">
        <v>1992</v>
      </c>
      <c r="E518" s="651">
        <v>8</v>
      </c>
      <c r="F518" s="673" t="s">
        <v>842</v>
      </c>
      <c r="G518" s="651">
        <v>36</v>
      </c>
      <c r="H518" s="653">
        <v>0</v>
      </c>
      <c r="I518" s="653">
        <v>0</v>
      </c>
      <c r="J518" s="653"/>
      <c r="K518" s="651"/>
      <c r="L518" s="651"/>
      <c r="M518" s="651"/>
      <c r="N518" s="651"/>
      <c r="O518" s="651"/>
      <c r="P518" s="651"/>
    </row>
    <row r="519" spans="1:16" ht="18.75">
      <c r="A519" s="652">
        <v>515</v>
      </c>
      <c r="B519" s="673" t="s">
        <v>1198</v>
      </c>
      <c r="C519" s="651" t="s">
        <v>1333</v>
      </c>
      <c r="D519" s="673">
        <v>1999</v>
      </c>
      <c r="E519" s="651">
        <v>8</v>
      </c>
      <c r="F519" s="673" t="s">
        <v>842</v>
      </c>
      <c r="G519" s="651">
        <v>18.6</v>
      </c>
      <c r="H519" s="653">
        <v>0.24</v>
      </c>
      <c r="I519" s="653">
        <v>2.95</v>
      </c>
      <c r="J519" s="653"/>
      <c r="K519" s="651"/>
      <c r="L519" s="651"/>
      <c r="M519" s="651"/>
      <c r="N519" s="651"/>
      <c r="O519" s="651"/>
      <c r="P519" s="651"/>
    </row>
    <row r="520" spans="1:16" ht="18.75">
      <c r="A520" s="652">
        <v>516</v>
      </c>
      <c r="B520" s="673" t="s">
        <v>1114</v>
      </c>
      <c r="C520" s="651" t="s">
        <v>853</v>
      </c>
      <c r="D520" s="673">
        <v>1988</v>
      </c>
      <c r="E520" s="651">
        <v>8</v>
      </c>
      <c r="F520" s="673" t="s">
        <v>842</v>
      </c>
      <c r="G520" s="651">
        <v>16.7</v>
      </c>
      <c r="H520" s="653">
        <v>0</v>
      </c>
      <c r="I520" s="653">
        <v>0</v>
      </c>
      <c r="J520" s="653"/>
      <c r="K520" s="651"/>
      <c r="L520" s="651"/>
      <c r="M520" s="651"/>
      <c r="N520" s="651"/>
      <c r="O520" s="651"/>
      <c r="P520" s="651"/>
    </row>
    <row r="521" spans="1:16" ht="37.5">
      <c r="A521" s="652">
        <v>517</v>
      </c>
      <c r="B521" s="673" t="s">
        <v>995</v>
      </c>
      <c r="C521" s="651" t="s">
        <v>1416</v>
      </c>
      <c r="D521" s="673">
        <v>1991</v>
      </c>
      <c r="E521" s="651">
        <v>10</v>
      </c>
      <c r="F521" s="673" t="s">
        <v>842</v>
      </c>
      <c r="G521" s="651">
        <v>31</v>
      </c>
      <c r="H521" s="653">
        <v>0.08</v>
      </c>
      <c r="I521" s="653">
        <v>0.75</v>
      </c>
      <c r="J521" s="653"/>
      <c r="K521" s="651"/>
      <c r="L521" s="651"/>
      <c r="M521" s="651"/>
      <c r="N521" s="653"/>
      <c r="O521" s="651"/>
      <c r="P521" s="653"/>
    </row>
    <row r="522" spans="1:16" ht="18.75">
      <c r="A522" s="652">
        <v>518</v>
      </c>
      <c r="B522" s="673" t="s">
        <v>891</v>
      </c>
      <c r="C522" s="651" t="s">
        <v>849</v>
      </c>
      <c r="D522" s="673">
        <v>1988</v>
      </c>
      <c r="E522" s="651">
        <v>10</v>
      </c>
      <c r="F522" s="673" t="s">
        <v>842</v>
      </c>
      <c r="G522" s="651">
        <v>4.8</v>
      </c>
      <c r="H522" s="653">
        <v>0.28</v>
      </c>
      <c r="I522" s="653">
        <v>3.44</v>
      </c>
      <c r="J522" s="653"/>
      <c r="K522" s="651"/>
      <c r="L522" s="651"/>
      <c r="M522" s="651"/>
      <c r="N522" s="651"/>
      <c r="O522" s="651"/>
      <c r="P522" s="651"/>
    </row>
    <row r="523" spans="1:16" ht="18.75">
      <c r="A523" s="652">
        <v>519</v>
      </c>
      <c r="B523" s="673" t="s">
        <v>883</v>
      </c>
      <c r="C523" s="651" t="s">
        <v>838</v>
      </c>
      <c r="D523" s="673">
        <v>1998</v>
      </c>
      <c r="E523" s="651">
        <v>8</v>
      </c>
      <c r="F523" s="673" t="s">
        <v>842</v>
      </c>
      <c r="G523" s="651">
        <v>15.8</v>
      </c>
      <c r="H523" s="653">
        <v>0.25</v>
      </c>
      <c r="I523" s="653">
        <v>3.03</v>
      </c>
      <c r="J523" s="653"/>
      <c r="K523" s="651"/>
      <c r="L523" s="651"/>
      <c r="M523" s="651"/>
      <c r="N523" s="651"/>
      <c r="O523" s="651"/>
      <c r="P523" s="651"/>
    </row>
    <row r="524" spans="1:16" ht="56.25">
      <c r="A524" s="652">
        <v>520</v>
      </c>
      <c r="B524" s="673" t="s">
        <v>995</v>
      </c>
      <c r="C524" s="651" t="s">
        <v>1416</v>
      </c>
      <c r="D524" s="673">
        <v>1988</v>
      </c>
      <c r="E524" s="651">
        <v>10</v>
      </c>
      <c r="F524" s="673" t="s">
        <v>842</v>
      </c>
      <c r="G524" s="651">
        <v>31</v>
      </c>
      <c r="H524" s="653">
        <v>0.2</v>
      </c>
      <c r="I524" s="653">
        <v>2.49</v>
      </c>
      <c r="J524" s="653"/>
      <c r="K524" s="651"/>
      <c r="L524" s="654" t="s">
        <v>2286</v>
      </c>
      <c r="M524" s="651" t="s">
        <v>841</v>
      </c>
      <c r="N524" s="655">
        <v>916.7</v>
      </c>
      <c r="O524" s="651">
        <v>23</v>
      </c>
      <c r="P524" s="651"/>
    </row>
    <row r="525" spans="1:16" ht="18.75">
      <c r="A525" s="652">
        <v>521</v>
      </c>
      <c r="B525" s="673" t="s">
        <v>1417</v>
      </c>
      <c r="C525" s="651" t="s">
        <v>838</v>
      </c>
      <c r="D525" s="673">
        <v>1989</v>
      </c>
      <c r="E525" s="651">
        <v>10</v>
      </c>
      <c r="F525" s="673" t="s">
        <v>842</v>
      </c>
      <c r="G525" s="651">
        <v>38.5</v>
      </c>
      <c r="H525" s="653">
        <v>0</v>
      </c>
      <c r="I525" s="653">
        <v>0</v>
      </c>
      <c r="J525" s="653"/>
      <c r="K525" s="651"/>
      <c r="L525" s="651"/>
      <c r="M525" s="651"/>
      <c r="N525" s="651"/>
      <c r="O525" s="651"/>
      <c r="P525" s="651"/>
    </row>
    <row r="526" spans="1:16" ht="18.75">
      <c r="A526" s="652">
        <v>522</v>
      </c>
      <c r="B526" s="673" t="s">
        <v>1418</v>
      </c>
      <c r="C526" s="651" t="s">
        <v>931</v>
      </c>
      <c r="D526" s="673">
        <v>1991</v>
      </c>
      <c r="E526" s="651">
        <v>10</v>
      </c>
      <c r="F526" s="673" t="s">
        <v>842</v>
      </c>
      <c r="G526" s="651">
        <v>40</v>
      </c>
      <c r="H526" s="653">
        <v>0.08</v>
      </c>
      <c r="I526" s="653">
        <v>1.03</v>
      </c>
      <c r="J526" s="653"/>
      <c r="K526" s="651"/>
      <c r="L526" s="651"/>
      <c r="M526" s="651"/>
      <c r="N526" s="651"/>
      <c r="O526" s="651"/>
      <c r="P526" s="651"/>
    </row>
    <row r="527" spans="1:16" ht="18.75">
      <c r="A527" s="652">
        <v>523</v>
      </c>
      <c r="B527" s="673" t="s">
        <v>876</v>
      </c>
      <c r="C527" s="651" t="s">
        <v>1419</v>
      </c>
      <c r="D527" s="673">
        <v>1979</v>
      </c>
      <c r="E527" s="651">
        <v>10</v>
      </c>
      <c r="F527" s="673" t="s">
        <v>842</v>
      </c>
      <c r="G527" s="651">
        <v>31</v>
      </c>
      <c r="H527" s="653">
        <v>0.07</v>
      </c>
      <c r="I527" s="653">
        <v>0.84</v>
      </c>
      <c r="J527" s="653"/>
      <c r="K527" s="651"/>
      <c r="L527" s="651"/>
      <c r="M527" s="651"/>
      <c r="N527" s="651"/>
      <c r="O527" s="651"/>
      <c r="P527" s="651"/>
    </row>
    <row r="528" spans="1:16" ht="18.75">
      <c r="A528" s="652">
        <v>524</v>
      </c>
      <c r="B528" s="673" t="s">
        <v>876</v>
      </c>
      <c r="C528" s="651" t="s">
        <v>1420</v>
      </c>
      <c r="D528" s="673">
        <v>1989</v>
      </c>
      <c r="E528" s="651">
        <v>10</v>
      </c>
      <c r="F528" s="673" t="s">
        <v>842</v>
      </c>
      <c r="G528" s="651">
        <v>31</v>
      </c>
      <c r="H528" s="653">
        <v>0.7</v>
      </c>
      <c r="I528" s="653">
        <v>8.45</v>
      </c>
      <c r="J528" s="653"/>
      <c r="K528" s="651"/>
      <c r="L528" s="651"/>
      <c r="M528" s="651"/>
      <c r="N528" s="651"/>
      <c r="O528" s="651"/>
      <c r="P528" s="651"/>
    </row>
    <row r="529" spans="1:16" ht="18.75">
      <c r="A529" s="652">
        <v>525</v>
      </c>
      <c r="B529" s="673" t="s">
        <v>949</v>
      </c>
      <c r="C529" s="651" t="s">
        <v>1421</v>
      </c>
      <c r="D529" s="673">
        <v>1995</v>
      </c>
      <c r="E529" s="651">
        <v>8</v>
      </c>
      <c r="F529" s="673" t="s">
        <v>842</v>
      </c>
      <c r="G529" s="651">
        <v>18</v>
      </c>
      <c r="H529" s="653">
        <v>0</v>
      </c>
      <c r="I529" s="653">
        <v>0</v>
      </c>
      <c r="J529" s="653">
        <v>28.4</v>
      </c>
      <c r="K529" s="651"/>
      <c r="L529" s="651"/>
      <c r="M529" s="651"/>
      <c r="N529" s="651"/>
      <c r="O529" s="651"/>
      <c r="P529" s="651"/>
    </row>
    <row r="530" spans="1:16" ht="18.75">
      <c r="A530" s="652">
        <v>526</v>
      </c>
      <c r="B530" s="673" t="s">
        <v>924</v>
      </c>
      <c r="C530" s="651" t="s">
        <v>836</v>
      </c>
      <c r="D530" s="673">
        <v>1995</v>
      </c>
      <c r="E530" s="651">
        <v>8</v>
      </c>
      <c r="F530" s="673" t="s">
        <v>842</v>
      </c>
      <c r="G530" s="651">
        <v>17</v>
      </c>
      <c r="H530" s="653">
        <v>0.25</v>
      </c>
      <c r="I530" s="653">
        <v>3.07</v>
      </c>
      <c r="J530" s="653"/>
      <c r="K530" s="651"/>
      <c r="L530" s="651"/>
      <c r="M530" s="651"/>
      <c r="N530" s="651"/>
      <c r="O530" s="651"/>
      <c r="P530" s="651"/>
    </row>
    <row r="531" spans="1:16" ht="18.75">
      <c r="A531" s="652">
        <v>527</v>
      </c>
      <c r="B531" s="673" t="s">
        <v>835</v>
      </c>
      <c r="C531" s="651" t="s">
        <v>853</v>
      </c>
      <c r="D531" s="673">
        <v>1992</v>
      </c>
      <c r="E531" s="651">
        <v>10</v>
      </c>
      <c r="F531" s="673" t="s">
        <v>842</v>
      </c>
      <c r="G531" s="651">
        <v>12</v>
      </c>
      <c r="H531" s="653">
        <v>0.15</v>
      </c>
      <c r="I531" s="653">
        <v>1.86</v>
      </c>
      <c r="J531" s="653"/>
      <c r="K531" s="651"/>
      <c r="L531" s="651"/>
      <c r="M531" s="651"/>
      <c r="N531" s="651"/>
      <c r="O531" s="651"/>
      <c r="P531" s="651"/>
    </row>
    <row r="532" spans="1:16" ht="18.75">
      <c r="A532" s="652">
        <v>528</v>
      </c>
      <c r="B532" s="673" t="s">
        <v>924</v>
      </c>
      <c r="C532" s="651" t="s">
        <v>836</v>
      </c>
      <c r="D532" s="673">
        <v>1996</v>
      </c>
      <c r="E532" s="651">
        <v>10</v>
      </c>
      <c r="F532" s="673" t="s">
        <v>842</v>
      </c>
      <c r="G532" s="651">
        <v>17</v>
      </c>
      <c r="H532" s="653">
        <v>0.05</v>
      </c>
      <c r="I532" s="653">
        <v>0.44</v>
      </c>
      <c r="J532" s="653"/>
      <c r="K532" s="651"/>
      <c r="L532" s="651"/>
      <c r="M532" s="651"/>
      <c r="N532" s="651"/>
      <c r="O532" s="651"/>
      <c r="P532" s="651"/>
    </row>
    <row r="533" spans="1:16" ht="18.75">
      <c r="A533" s="652">
        <v>529</v>
      </c>
      <c r="B533" s="673" t="s">
        <v>883</v>
      </c>
      <c r="C533" s="651" t="s">
        <v>838</v>
      </c>
      <c r="D533" s="673">
        <v>1998</v>
      </c>
      <c r="E533" s="651">
        <v>10</v>
      </c>
      <c r="F533" s="673" t="s">
        <v>842</v>
      </c>
      <c r="G533" s="651">
        <v>15.8</v>
      </c>
      <c r="H533" s="653">
        <v>0.15</v>
      </c>
      <c r="I533" s="653">
        <v>1.83</v>
      </c>
      <c r="J533" s="653"/>
      <c r="K533" s="651"/>
      <c r="L533" s="651"/>
      <c r="M533" s="651"/>
      <c r="N533" s="651"/>
      <c r="O533" s="651"/>
      <c r="P533" s="651"/>
    </row>
    <row r="534" spans="1:16" ht="18.75">
      <c r="A534" s="652">
        <v>530</v>
      </c>
      <c r="B534" s="673" t="s">
        <v>924</v>
      </c>
      <c r="C534" s="651" t="s">
        <v>836</v>
      </c>
      <c r="D534" s="673">
        <v>1996</v>
      </c>
      <c r="E534" s="651">
        <v>10</v>
      </c>
      <c r="F534" s="673" t="s">
        <v>842</v>
      </c>
      <c r="G534" s="651">
        <v>17</v>
      </c>
      <c r="H534" s="653">
        <v>0.15</v>
      </c>
      <c r="I534" s="653">
        <v>1.8</v>
      </c>
      <c r="J534" s="653"/>
      <c r="K534" s="651"/>
      <c r="L534" s="651"/>
      <c r="M534" s="651"/>
      <c r="N534" s="651"/>
      <c r="O534" s="651"/>
      <c r="P534" s="651"/>
    </row>
    <row r="535" spans="1:16" ht="18.75">
      <c r="A535" s="652">
        <v>531</v>
      </c>
      <c r="B535" s="673" t="s">
        <v>1133</v>
      </c>
      <c r="C535" s="651" t="s">
        <v>849</v>
      </c>
      <c r="D535" s="673">
        <v>1989</v>
      </c>
      <c r="E535" s="651">
        <v>10</v>
      </c>
      <c r="F535" s="673" t="s">
        <v>842</v>
      </c>
      <c r="G535" s="651">
        <v>15</v>
      </c>
      <c r="H535" s="653">
        <v>0</v>
      </c>
      <c r="I535" s="653">
        <v>0</v>
      </c>
      <c r="J535" s="653"/>
      <c r="K535" s="651"/>
      <c r="L535" s="651"/>
      <c r="M535" s="651"/>
      <c r="N535" s="651"/>
      <c r="O535" s="651"/>
      <c r="P535" s="651"/>
    </row>
    <row r="536" spans="1:16" ht="18.75">
      <c r="A536" s="652">
        <v>532</v>
      </c>
      <c r="B536" s="673" t="s">
        <v>1422</v>
      </c>
      <c r="C536" s="651" t="s">
        <v>836</v>
      </c>
      <c r="D536" s="673">
        <v>1992</v>
      </c>
      <c r="E536" s="651">
        <v>10</v>
      </c>
      <c r="F536" s="673" t="s">
        <v>842</v>
      </c>
      <c r="G536" s="651">
        <v>18</v>
      </c>
      <c r="H536" s="653">
        <v>0</v>
      </c>
      <c r="I536" s="653">
        <v>0.3</v>
      </c>
      <c r="J536" s="653"/>
      <c r="K536" s="651"/>
      <c r="L536" s="651"/>
      <c r="M536" s="651"/>
      <c r="N536" s="651"/>
      <c r="O536" s="651"/>
      <c r="P536" s="651"/>
    </row>
    <row r="537" spans="1:16" ht="37.5">
      <c r="A537" s="652">
        <v>533</v>
      </c>
      <c r="B537" s="673" t="s">
        <v>1217</v>
      </c>
      <c r="C537" s="651" t="s">
        <v>1423</v>
      </c>
      <c r="D537" s="673">
        <v>1992</v>
      </c>
      <c r="E537" s="651">
        <v>10</v>
      </c>
      <c r="F537" s="673" t="s">
        <v>842</v>
      </c>
      <c r="G537" s="651">
        <v>32</v>
      </c>
      <c r="H537" s="653">
        <v>0.4</v>
      </c>
      <c r="I537" s="653">
        <v>4.07</v>
      </c>
      <c r="J537" s="653"/>
      <c r="K537" s="651"/>
      <c r="L537" s="651"/>
      <c r="M537" s="651"/>
      <c r="N537" s="651"/>
      <c r="O537" s="651"/>
      <c r="P537" s="651"/>
    </row>
    <row r="538" spans="1:16" ht="18.75">
      <c r="A538" s="652">
        <v>534</v>
      </c>
      <c r="B538" s="673" t="s">
        <v>834</v>
      </c>
      <c r="C538" s="651" t="s">
        <v>836</v>
      </c>
      <c r="D538" s="673">
        <v>1990</v>
      </c>
      <c r="E538" s="651">
        <v>10</v>
      </c>
      <c r="F538" s="673" t="s">
        <v>842</v>
      </c>
      <c r="G538" s="651">
        <v>25</v>
      </c>
      <c r="H538" s="653">
        <v>0.08</v>
      </c>
      <c r="I538" s="653">
        <v>0.89</v>
      </c>
      <c r="J538" s="653"/>
      <c r="K538" s="651"/>
      <c r="L538" s="651"/>
      <c r="M538" s="651"/>
      <c r="N538" s="651"/>
      <c r="O538" s="651"/>
      <c r="P538" s="651"/>
    </row>
    <row r="539" spans="1:16" ht="18.75">
      <c r="A539" s="652">
        <v>535</v>
      </c>
      <c r="B539" s="673" t="s">
        <v>891</v>
      </c>
      <c r="C539" s="651" t="s">
        <v>849</v>
      </c>
      <c r="D539" s="673">
        <v>1988</v>
      </c>
      <c r="E539" s="651">
        <v>10</v>
      </c>
      <c r="F539" s="673" t="s">
        <v>842</v>
      </c>
      <c r="G539" s="651">
        <v>4.8</v>
      </c>
      <c r="H539" s="653">
        <v>0</v>
      </c>
      <c r="I539" s="653">
        <v>0</v>
      </c>
      <c r="J539" s="653"/>
      <c r="K539" s="651"/>
      <c r="L539" s="651"/>
      <c r="M539" s="651"/>
      <c r="N539" s="651"/>
      <c r="O539" s="651"/>
      <c r="P539" s="651"/>
    </row>
    <row r="540" spans="1:16" ht="18.75">
      <c r="A540" s="652">
        <v>536</v>
      </c>
      <c r="B540" s="673" t="s">
        <v>883</v>
      </c>
      <c r="C540" s="651" t="s">
        <v>838</v>
      </c>
      <c r="D540" s="673">
        <v>1999</v>
      </c>
      <c r="E540" s="651">
        <v>8</v>
      </c>
      <c r="F540" s="673" t="s">
        <v>842</v>
      </c>
      <c r="G540" s="651">
        <v>15.8</v>
      </c>
      <c r="H540" s="653">
        <v>0.2</v>
      </c>
      <c r="I540" s="653">
        <v>2.38</v>
      </c>
      <c r="J540" s="653"/>
      <c r="K540" s="651"/>
      <c r="L540" s="651"/>
      <c r="M540" s="651"/>
      <c r="N540" s="651"/>
      <c r="O540" s="651"/>
      <c r="P540" s="651"/>
    </row>
    <row r="541" spans="1:16" ht="18.75">
      <c r="A541" s="652">
        <v>537</v>
      </c>
      <c r="B541" s="673" t="s">
        <v>1288</v>
      </c>
      <c r="C541" s="651" t="s">
        <v>836</v>
      </c>
      <c r="D541" s="673">
        <v>1989</v>
      </c>
      <c r="E541" s="651">
        <v>10</v>
      </c>
      <c r="F541" s="673" t="s">
        <v>842</v>
      </c>
      <c r="G541" s="651">
        <v>25</v>
      </c>
      <c r="H541" s="653">
        <v>0.15</v>
      </c>
      <c r="I541" s="653">
        <v>0.65</v>
      </c>
      <c r="J541" s="653"/>
      <c r="K541" s="651"/>
      <c r="L541" s="651"/>
      <c r="M541" s="651"/>
      <c r="N541" s="651"/>
      <c r="O541" s="651"/>
      <c r="P541" s="651"/>
    </row>
    <row r="542" spans="1:16" ht="18.75">
      <c r="A542" s="652">
        <v>538</v>
      </c>
      <c r="B542" s="673" t="s">
        <v>935</v>
      </c>
      <c r="C542" s="651" t="s">
        <v>849</v>
      </c>
      <c r="D542" s="673">
        <v>1994</v>
      </c>
      <c r="E542" s="651">
        <v>10</v>
      </c>
      <c r="F542" s="673" t="s">
        <v>842</v>
      </c>
      <c r="G542" s="651">
        <v>4.8</v>
      </c>
      <c r="H542" s="653">
        <v>0.12</v>
      </c>
      <c r="I542" s="653">
        <v>1.59</v>
      </c>
      <c r="J542" s="653"/>
      <c r="K542" s="651"/>
      <c r="L542" s="651"/>
      <c r="M542" s="651"/>
      <c r="N542" s="651"/>
      <c r="O542" s="651"/>
      <c r="P542" s="651"/>
    </row>
    <row r="543" spans="1:16" ht="18.75">
      <c r="A543" s="652">
        <v>539</v>
      </c>
      <c r="B543" s="673" t="s">
        <v>935</v>
      </c>
      <c r="C543" s="651" t="s">
        <v>1381</v>
      </c>
      <c r="D543" s="673">
        <v>1990</v>
      </c>
      <c r="E543" s="651">
        <v>10</v>
      </c>
      <c r="F543" s="673" t="s">
        <v>842</v>
      </c>
      <c r="G543" s="651">
        <v>4.8</v>
      </c>
      <c r="H543" s="653">
        <v>0.06</v>
      </c>
      <c r="I543" s="653">
        <v>0.71</v>
      </c>
      <c r="J543" s="653"/>
      <c r="K543" s="651"/>
      <c r="L543" s="651"/>
      <c r="M543" s="651"/>
      <c r="N543" s="651"/>
      <c r="O543" s="651"/>
      <c r="P543" s="651"/>
    </row>
    <row r="544" spans="1:16" ht="18.75">
      <c r="A544" s="652">
        <v>540</v>
      </c>
      <c r="B544" s="673" t="s">
        <v>1424</v>
      </c>
      <c r="C544" s="651" t="s">
        <v>853</v>
      </c>
      <c r="D544" s="673">
        <v>1995</v>
      </c>
      <c r="E544" s="651">
        <v>10</v>
      </c>
      <c r="F544" s="673" t="s">
        <v>842</v>
      </c>
      <c r="G544" s="651">
        <v>13.9</v>
      </c>
      <c r="H544" s="653">
        <v>0.43</v>
      </c>
      <c r="I544" s="653">
        <v>5.27</v>
      </c>
      <c r="J544" s="653"/>
      <c r="K544" s="651"/>
      <c r="L544" s="651"/>
      <c r="M544" s="651"/>
      <c r="N544" s="651"/>
      <c r="O544" s="651"/>
      <c r="P544" s="651"/>
    </row>
    <row r="545" spans="1:16" ht="18.75">
      <c r="A545" s="652">
        <v>541</v>
      </c>
      <c r="B545" s="673" t="s">
        <v>918</v>
      </c>
      <c r="C545" s="651" t="s">
        <v>853</v>
      </c>
      <c r="D545" s="673">
        <v>1995</v>
      </c>
      <c r="E545" s="651">
        <v>8</v>
      </c>
      <c r="F545" s="673" t="s">
        <v>842</v>
      </c>
      <c r="G545" s="651">
        <v>17.6</v>
      </c>
      <c r="H545" s="653">
        <v>0</v>
      </c>
      <c r="I545" s="653">
        <v>0</v>
      </c>
      <c r="J545" s="653"/>
      <c r="K545" s="651"/>
      <c r="L545" s="651"/>
      <c r="M545" s="651"/>
      <c r="N545" s="651"/>
      <c r="O545" s="651"/>
      <c r="P545" s="651"/>
    </row>
    <row r="546" spans="1:16" ht="18.75">
      <c r="A546" s="652">
        <v>542</v>
      </c>
      <c r="B546" s="673" t="s">
        <v>855</v>
      </c>
      <c r="C546" s="651" t="s">
        <v>853</v>
      </c>
      <c r="D546" s="673">
        <v>2006</v>
      </c>
      <c r="E546" s="651">
        <v>8</v>
      </c>
      <c r="F546" s="673" t="s">
        <v>842</v>
      </c>
      <c r="G546" s="651">
        <v>17.6</v>
      </c>
      <c r="H546" s="653">
        <v>0.2</v>
      </c>
      <c r="I546" s="653">
        <v>2.72</v>
      </c>
      <c r="J546" s="653">
        <v>52.42</v>
      </c>
      <c r="K546" s="651"/>
      <c r="L546" s="651"/>
      <c r="M546" s="651"/>
      <c r="N546" s="651"/>
      <c r="O546" s="651"/>
      <c r="P546" s="651"/>
    </row>
    <row r="547" spans="1:16" ht="37.5">
      <c r="A547" s="652">
        <v>543</v>
      </c>
      <c r="B547" s="673" t="s">
        <v>1425</v>
      </c>
      <c r="C547" s="651" t="s">
        <v>1426</v>
      </c>
      <c r="D547" s="673">
        <v>2006</v>
      </c>
      <c r="E547" s="651">
        <v>10</v>
      </c>
      <c r="F547" s="673" t="s">
        <v>842</v>
      </c>
      <c r="G547" s="651">
        <v>32</v>
      </c>
      <c r="H547" s="653">
        <v>0.23</v>
      </c>
      <c r="I547" s="653">
        <v>2.78</v>
      </c>
      <c r="J547" s="653">
        <v>59.9</v>
      </c>
      <c r="K547" s="651"/>
      <c r="L547" s="651"/>
      <c r="M547" s="651"/>
      <c r="N547" s="651"/>
      <c r="O547" s="651"/>
      <c r="P547" s="651"/>
    </row>
    <row r="548" spans="1:16" ht="18.75">
      <c r="A548" s="652">
        <v>544</v>
      </c>
      <c r="B548" s="673" t="s">
        <v>1133</v>
      </c>
      <c r="C548" s="651" t="s">
        <v>912</v>
      </c>
      <c r="D548" s="673">
        <v>2006</v>
      </c>
      <c r="E548" s="651">
        <v>10</v>
      </c>
      <c r="F548" s="673" t="s">
        <v>842</v>
      </c>
      <c r="G548" s="651">
        <v>15</v>
      </c>
      <c r="H548" s="653">
        <v>0.08</v>
      </c>
      <c r="I548" s="653">
        <v>0.4</v>
      </c>
      <c r="J548" s="653">
        <v>70.1</v>
      </c>
      <c r="K548" s="651"/>
      <c r="L548" s="651"/>
      <c r="M548" s="651"/>
      <c r="N548" s="651"/>
      <c r="O548" s="651"/>
      <c r="P548" s="651"/>
    </row>
    <row r="549" spans="1:16" ht="37.5">
      <c r="A549" s="652">
        <v>545</v>
      </c>
      <c r="B549" s="673" t="s">
        <v>850</v>
      </c>
      <c r="C549" s="651" t="s">
        <v>1427</v>
      </c>
      <c r="D549" s="673">
        <v>1993</v>
      </c>
      <c r="E549" s="651">
        <v>10</v>
      </c>
      <c r="F549" s="673" t="s">
        <v>842</v>
      </c>
      <c r="G549" s="651">
        <v>32</v>
      </c>
      <c r="H549" s="653">
        <v>0</v>
      </c>
      <c r="I549" s="653">
        <v>0</v>
      </c>
      <c r="J549" s="653"/>
      <c r="K549" s="651"/>
      <c r="L549" s="651"/>
      <c r="M549" s="651"/>
      <c r="N549" s="651"/>
      <c r="O549" s="651"/>
      <c r="P549" s="651"/>
    </row>
    <row r="550" spans="1:16" ht="18.75">
      <c r="A550" s="652">
        <v>546</v>
      </c>
      <c r="B550" s="673" t="s">
        <v>1428</v>
      </c>
      <c r="C550" s="651"/>
      <c r="D550" s="673">
        <v>1992</v>
      </c>
      <c r="E550" s="651">
        <v>10</v>
      </c>
      <c r="F550" s="673" t="s">
        <v>842</v>
      </c>
      <c r="G550" s="651"/>
      <c r="H550" s="653">
        <v>0</v>
      </c>
      <c r="I550" s="653">
        <v>0</v>
      </c>
      <c r="J550" s="653"/>
      <c r="K550" s="651"/>
      <c r="L550" s="651"/>
      <c r="M550" s="651"/>
      <c r="N550" s="651"/>
      <c r="O550" s="651"/>
      <c r="P550" s="651"/>
    </row>
    <row r="551" spans="1:16" ht="18.75">
      <c r="A551" s="652">
        <v>547</v>
      </c>
      <c r="B551" s="674" t="s">
        <v>1429</v>
      </c>
      <c r="C551" s="675" t="s">
        <v>1421</v>
      </c>
      <c r="D551" s="674">
        <v>2012</v>
      </c>
      <c r="E551" s="675">
        <v>10</v>
      </c>
      <c r="F551" s="673" t="s">
        <v>842</v>
      </c>
      <c r="G551" s="675">
        <v>17.9</v>
      </c>
      <c r="H551" s="676">
        <v>0</v>
      </c>
      <c r="I551" s="676">
        <v>0</v>
      </c>
      <c r="J551" s="676">
        <v>394.23</v>
      </c>
      <c r="K551" s="675"/>
      <c r="L551" s="675"/>
      <c r="M551" s="675"/>
      <c r="N551" s="675"/>
      <c r="O551" s="675"/>
      <c r="P551" s="675"/>
    </row>
    <row r="552" spans="1:16" ht="18.75">
      <c r="A552" s="652">
        <v>548</v>
      </c>
      <c r="B552" s="674" t="s">
        <v>1430</v>
      </c>
      <c r="C552" s="675" t="s">
        <v>893</v>
      </c>
      <c r="D552" s="674">
        <v>1986</v>
      </c>
      <c r="E552" s="675">
        <v>10</v>
      </c>
      <c r="F552" s="673" t="s">
        <v>842</v>
      </c>
      <c r="G552" s="675"/>
      <c r="H552" s="676"/>
      <c r="I552" s="676"/>
      <c r="J552" s="676"/>
      <c r="K552" s="675"/>
      <c r="L552" s="675"/>
      <c r="M552" s="675"/>
      <c r="N552" s="675"/>
      <c r="O552" s="675"/>
      <c r="P552" s="675"/>
    </row>
    <row r="553" spans="1:16" ht="18.75">
      <c r="A553" s="652">
        <v>549</v>
      </c>
      <c r="B553" s="674" t="s">
        <v>1430</v>
      </c>
      <c r="C553" s="675" t="s">
        <v>893</v>
      </c>
      <c r="D553" s="674">
        <v>1986</v>
      </c>
      <c r="E553" s="675">
        <v>10</v>
      </c>
      <c r="F553" s="673" t="s">
        <v>842</v>
      </c>
      <c r="G553" s="675"/>
      <c r="H553" s="676"/>
      <c r="I553" s="676"/>
      <c r="J553" s="676"/>
      <c r="K553" s="675"/>
      <c r="L553" s="675"/>
      <c r="M553" s="675"/>
      <c r="N553" s="675"/>
      <c r="O553" s="675"/>
      <c r="P553" s="675"/>
    </row>
    <row r="554" spans="1:16" ht="18.75">
      <c r="A554" s="652">
        <v>550</v>
      </c>
      <c r="B554" s="674" t="s">
        <v>1431</v>
      </c>
      <c r="C554" s="675" t="s">
        <v>893</v>
      </c>
      <c r="D554" s="674">
        <v>1983</v>
      </c>
      <c r="E554" s="675">
        <v>10</v>
      </c>
      <c r="F554" s="673" t="s">
        <v>842</v>
      </c>
      <c r="G554" s="675"/>
      <c r="H554" s="676"/>
      <c r="I554" s="676"/>
      <c r="J554" s="676"/>
      <c r="K554" s="675"/>
      <c r="L554" s="675"/>
      <c r="M554" s="675"/>
      <c r="N554" s="675"/>
      <c r="O554" s="675"/>
      <c r="P554" s="675"/>
    </row>
    <row r="555" spans="1:16" ht="18.75">
      <c r="A555" s="652">
        <v>551</v>
      </c>
      <c r="B555" s="674" t="s">
        <v>1431</v>
      </c>
      <c r="C555" s="675" t="s">
        <v>893</v>
      </c>
      <c r="D555" s="674">
        <v>1985</v>
      </c>
      <c r="E555" s="675">
        <v>10</v>
      </c>
      <c r="F555" s="673" t="s">
        <v>842</v>
      </c>
      <c r="G555" s="675"/>
      <c r="H555" s="676"/>
      <c r="I555" s="676"/>
      <c r="J555" s="676"/>
      <c r="K555" s="675"/>
      <c r="L555" s="675"/>
      <c r="M555" s="675"/>
      <c r="N555" s="675"/>
      <c r="O555" s="675"/>
      <c r="P555" s="675"/>
    </row>
    <row r="556" spans="1:16" ht="18.75">
      <c r="A556" s="652">
        <v>552</v>
      </c>
      <c r="B556" s="651" t="s">
        <v>885</v>
      </c>
      <c r="C556" s="651" t="s">
        <v>1432</v>
      </c>
      <c r="D556" s="651">
        <v>2007</v>
      </c>
      <c r="E556" s="651">
        <v>10</v>
      </c>
      <c r="F556" s="651" t="s">
        <v>2179</v>
      </c>
      <c r="G556" s="677">
        <v>16</v>
      </c>
      <c r="H556" s="653">
        <v>0.23</v>
      </c>
      <c r="I556" s="653">
        <v>2.81</v>
      </c>
      <c r="J556" s="653">
        <v>32.67</v>
      </c>
      <c r="K556" s="651"/>
      <c r="L556" s="654"/>
      <c r="M556" s="654"/>
      <c r="N556" s="651"/>
      <c r="O556" s="651"/>
      <c r="P556" s="653"/>
    </row>
    <row r="557" spans="1:16" ht="18.75">
      <c r="A557" s="652">
        <v>553</v>
      </c>
      <c r="B557" s="651" t="s">
        <v>885</v>
      </c>
      <c r="C557" s="651" t="s">
        <v>1432</v>
      </c>
      <c r="D557" s="651">
        <v>2008</v>
      </c>
      <c r="E557" s="651">
        <v>10</v>
      </c>
      <c r="F557" s="651" t="s">
        <v>2179</v>
      </c>
      <c r="G557" s="677">
        <v>16</v>
      </c>
      <c r="H557" s="653">
        <v>0.17</v>
      </c>
      <c r="I557" s="653">
        <v>2.1</v>
      </c>
      <c r="J557" s="653">
        <v>34.67</v>
      </c>
      <c r="K557" s="651"/>
      <c r="L557" s="654"/>
      <c r="M557" s="654"/>
      <c r="N557" s="655"/>
      <c r="O557" s="651"/>
      <c r="P557" s="653"/>
    </row>
    <row r="558" spans="1:16" ht="18.75">
      <c r="A558" s="652">
        <v>554</v>
      </c>
      <c r="B558" s="651" t="s">
        <v>885</v>
      </c>
      <c r="C558" s="651" t="s">
        <v>1432</v>
      </c>
      <c r="D558" s="651">
        <v>1999</v>
      </c>
      <c r="E558" s="651">
        <v>10</v>
      </c>
      <c r="F558" s="651" t="s">
        <v>2179</v>
      </c>
      <c r="G558" s="677">
        <v>18</v>
      </c>
      <c r="H558" s="653">
        <v>0.74</v>
      </c>
      <c r="I558" s="653">
        <v>8.95</v>
      </c>
      <c r="J558" s="653"/>
      <c r="K558" s="651"/>
      <c r="L558" s="654"/>
      <c r="M558" s="651"/>
      <c r="N558" s="653"/>
      <c r="O558" s="651"/>
      <c r="P558" s="653"/>
    </row>
    <row r="559" spans="1:16" ht="18.75">
      <c r="A559" s="652">
        <v>555</v>
      </c>
      <c r="B559" s="651" t="s">
        <v>1114</v>
      </c>
      <c r="C559" s="651" t="s">
        <v>1433</v>
      </c>
      <c r="D559" s="651">
        <v>1994</v>
      </c>
      <c r="E559" s="651">
        <v>8</v>
      </c>
      <c r="F559" s="651" t="s">
        <v>2179</v>
      </c>
      <c r="G559" s="677">
        <v>16</v>
      </c>
      <c r="H559" s="653">
        <v>0.44</v>
      </c>
      <c r="I559" s="653">
        <v>5.33</v>
      </c>
      <c r="J559" s="653"/>
      <c r="K559" s="651"/>
      <c r="L559" s="654"/>
      <c r="M559" s="651"/>
      <c r="N559" s="656"/>
      <c r="O559" s="651"/>
      <c r="P559" s="653"/>
    </row>
    <row r="560" spans="1:16" ht="18.75">
      <c r="A560" s="652">
        <v>556</v>
      </c>
      <c r="B560" s="651" t="s">
        <v>918</v>
      </c>
      <c r="C560" s="651" t="s">
        <v>1433</v>
      </c>
      <c r="D560" s="651">
        <v>2003</v>
      </c>
      <c r="E560" s="651">
        <v>8</v>
      </c>
      <c r="F560" s="651" t="s">
        <v>2179</v>
      </c>
      <c r="G560" s="653">
        <v>18.06</v>
      </c>
      <c r="H560" s="653">
        <v>0.23</v>
      </c>
      <c r="I560" s="653">
        <v>2.85</v>
      </c>
      <c r="J560" s="653">
        <v>0.65</v>
      </c>
      <c r="K560" s="651"/>
      <c r="L560" s="654"/>
      <c r="M560" s="654"/>
      <c r="N560" s="655"/>
      <c r="O560" s="651"/>
      <c r="P560" s="653"/>
    </row>
    <row r="561" spans="1:16" ht="18.75">
      <c r="A561" s="652">
        <v>557</v>
      </c>
      <c r="B561" s="651" t="s">
        <v>850</v>
      </c>
      <c r="C561" s="651" t="s">
        <v>1350</v>
      </c>
      <c r="D561" s="651">
        <v>2003</v>
      </c>
      <c r="E561" s="651">
        <v>10</v>
      </c>
      <c r="F561" s="651" t="s">
        <v>2179</v>
      </c>
      <c r="G561" s="677">
        <v>32</v>
      </c>
      <c r="H561" s="653">
        <v>3.62</v>
      </c>
      <c r="I561" s="653">
        <v>43.45</v>
      </c>
      <c r="J561" s="653">
        <v>9.39</v>
      </c>
      <c r="K561" s="651"/>
      <c r="L561" s="654"/>
      <c r="M561" s="651"/>
      <c r="N561" s="653"/>
      <c r="O561" s="651"/>
      <c r="P561" s="651"/>
    </row>
    <row r="562" spans="1:16" ht="18.75">
      <c r="A562" s="652">
        <v>558</v>
      </c>
      <c r="B562" s="651" t="s">
        <v>883</v>
      </c>
      <c r="C562" s="651" t="s">
        <v>1434</v>
      </c>
      <c r="D562" s="651">
        <v>1998</v>
      </c>
      <c r="E562" s="651">
        <v>10</v>
      </c>
      <c r="F562" s="651" t="s">
        <v>2179</v>
      </c>
      <c r="G562" s="677">
        <v>16</v>
      </c>
      <c r="H562" s="653">
        <v>0.2</v>
      </c>
      <c r="I562" s="653">
        <v>2.47</v>
      </c>
      <c r="J562" s="653"/>
      <c r="K562" s="651"/>
      <c r="L562" s="654"/>
      <c r="M562" s="651"/>
      <c r="N562" s="655"/>
      <c r="O562" s="651"/>
      <c r="P562" s="651"/>
    </row>
    <row r="563" spans="1:16" ht="18.75">
      <c r="A563" s="652">
        <v>559</v>
      </c>
      <c r="B563" s="651" t="s">
        <v>948</v>
      </c>
      <c r="C563" s="651" t="s">
        <v>1435</v>
      </c>
      <c r="D563" s="651">
        <v>2002</v>
      </c>
      <c r="E563" s="651">
        <v>10</v>
      </c>
      <c r="F563" s="651" t="s">
        <v>2179</v>
      </c>
      <c r="G563" s="678">
        <v>18</v>
      </c>
      <c r="H563" s="653">
        <v>0.86</v>
      </c>
      <c r="I563" s="653">
        <v>10.42</v>
      </c>
      <c r="J563" s="653"/>
      <c r="K563" s="651"/>
      <c r="L563" s="654"/>
      <c r="M563" s="651"/>
      <c r="N563" s="653"/>
      <c r="O563" s="651"/>
      <c r="P563" s="651"/>
    </row>
    <row r="564" spans="1:16" ht="18.75">
      <c r="A564" s="652">
        <v>560</v>
      </c>
      <c r="B564" s="651" t="s">
        <v>875</v>
      </c>
      <c r="C564" s="651" t="s">
        <v>1436</v>
      </c>
      <c r="D564" s="651">
        <v>1991</v>
      </c>
      <c r="E564" s="651">
        <v>10</v>
      </c>
      <c r="F564" s="651" t="s">
        <v>2179</v>
      </c>
      <c r="G564" s="677">
        <v>27.3</v>
      </c>
      <c r="H564" s="653">
        <v>0.2</v>
      </c>
      <c r="I564" s="653">
        <v>2.39</v>
      </c>
      <c r="J564" s="653"/>
      <c r="K564" s="651"/>
      <c r="L564" s="651"/>
      <c r="M564" s="651"/>
      <c r="N564" s="651"/>
      <c r="O564" s="651"/>
      <c r="P564" s="651"/>
    </row>
    <row r="565" spans="1:16" ht="37.5">
      <c r="A565" s="652">
        <v>561</v>
      </c>
      <c r="B565" s="651" t="s">
        <v>1437</v>
      </c>
      <c r="C565" s="651" t="s">
        <v>923</v>
      </c>
      <c r="D565" s="651">
        <v>1991</v>
      </c>
      <c r="E565" s="651">
        <v>10</v>
      </c>
      <c r="F565" s="651" t="s">
        <v>2179</v>
      </c>
      <c r="G565" s="678">
        <v>31</v>
      </c>
      <c r="H565" s="653">
        <v>0.9</v>
      </c>
      <c r="I565" s="653">
        <v>4.5</v>
      </c>
      <c r="J565" s="653"/>
      <c r="K565" s="651"/>
      <c r="L565" s="651"/>
      <c r="M565" s="651"/>
      <c r="N565" s="651"/>
      <c r="O565" s="651"/>
      <c r="P565" s="651"/>
    </row>
    <row r="566" spans="1:16" ht="18.75">
      <c r="A566" s="652">
        <v>562</v>
      </c>
      <c r="B566" s="651" t="s">
        <v>834</v>
      </c>
      <c r="C566" s="651" t="s">
        <v>923</v>
      </c>
      <c r="D566" s="651">
        <v>1980</v>
      </c>
      <c r="E566" s="651">
        <v>10</v>
      </c>
      <c r="F566" s="651" t="s">
        <v>2179</v>
      </c>
      <c r="G566" s="677">
        <v>26</v>
      </c>
      <c r="H566" s="653">
        <v>0.23</v>
      </c>
      <c r="I566" s="653">
        <v>2.82</v>
      </c>
      <c r="J566" s="653"/>
      <c r="K566" s="651"/>
      <c r="L566" s="651"/>
      <c r="M566" s="651"/>
      <c r="N566" s="651"/>
      <c r="O566" s="651"/>
      <c r="P566" s="651"/>
    </row>
    <row r="567" spans="1:16" ht="18.75">
      <c r="A567" s="652">
        <v>563</v>
      </c>
      <c r="B567" s="651" t="s">
        <v>1438</v>
      </c>
      <c r="C567" s="651" t="s">
        <v>1433</v>
      </c>
      <c r="D567" s="651">
        <v>2001</v>
      </c>
      <c r="E567" s="651">
        <v>8</v>
      </c>
      <c r="F567" s="651" t="s">
        <v>2179</v>
      </c>
      <c r="G567" s="677">
        <v>9.4</v>
      </c>
      <c r="H567" s="653">
        <v>0.23</v>
      </c>
      <c r="I567" s="653">
        <v>2.86</v>
      </c>
      <c r="J567" s="653"/>
      <c r="K567" s="651"/>
      <c r="L567" s="654"/>
      <c r="M567" s="651"/>
      <c r="N567" s="653"/>
      <c r="O567" s="651"/>
      <c r="P567" s="651"/>
    </row>
    <row r="568" spans="1:16" ht="18.75">
      <c r="A568" s="652">
        <v>564</v>
      </c>
      <c r="B568" s="651" t="s">
        <v>1439</v>
      </c>
      <c r="C568" s="651" t="s">
        <v>1433</v>
      </c>
      <c r="D568" s="651">
        <v>1992</v>
      </c>
      <c r="E568" s="651">
        <v>8</v>
      </c>
      <c r="F568" s="651" t="s">
        <v>2179</v>
      </c>
      <c r="G568" s="651">
        <v>9.2</v>
      </c>
      <c r="H568" s="653">
        <v>0.18</v>
      </c>
      <c r="I568" s="653">
        <v>2.23</v>
      </c>
      <c r="J568" s="653"/>
      <c r="K568" s="651"/>
      <c r="L568" s="651"/>
      <c r="M568" s="651"/>
      <c r="N568" s="651"/>
      <c r="O568" s="651"/>
      <c r="P568" s="651"/>
    </row>
    <row r="569" spans="1:16" ht="18.75">
      <c r="A569" s="652">
        <v>565</v>
      </c>
      <c r="B569" s="651" t="s">
        <v>1440</v>
      </c>
      <c r="C569" s="651" t="s">
        <v>1441</v>
      </c>
      <c r="D569" s="651">
        <v>1991</v>
      </c>
      <c r="E569" s="651">
        <v>10</v>
      </c>
      <c r="F569" s="651" t="s">
        <v>2179</v>
      </c>
      <c r="G569" s="677">
        <v>37</v>
      </c>
      <c r="H569" s="653">
        <v>0.49</v>
      </c>
      <c r="I569" s="653">
        <v>5.97</v>
      </c>
      <c r="J569" s="653"/>
      <c r="K569" s="651"/>
      <c r="L569" s="651"/>
      <c r="M569" s="651"/>
      <c r="N569" s="651"/>
      <c r="O569" s="651"/>
      <c r="P569" s="651"/>
    </row>
    <row r="570" spans="1:16" ht="18.75">
      <c r="A570" s="652">
        <v>566</v>
      </c>
      <c r="B570" s="651" t="s">
        <v>1203</v>
      </c>
      <c r="C570" s="651" t="s">
        <v>1350</v>
      </c>
      <c r="D570" s="651">
        <v>1992</v>
      </c>
      <c r="E570" s="651">
        <v>10</v>
      </c>
      <c r="F570" s="651" t="s">
        <v>2179</v>
      </c>
      <c r="G570" s="677">
        <v>36</v>
      </c>
      <c r="H570" s="653">
        <v>0.18</v>
      </c>
      <c r="I570" s="653">
        <v>2.22</v>
      </c>
      <c r="J570" s="653"/>
      <c r="K570" s="651"/>
      <c r="L570" s="651"/>
      <c r="M570" s="651"/>
      <c r="N570" s="651"/>
      <c r="O570" s="651"/>
      <c r="P570" s="651"/>
    </row>
    <row r="571" spans="1:16" ht="18.75">
      <c r="A571" s="652">
        <v>567</v>
      </c>
      <c r="B571" s="651" t="s">
        <v>1203</v>
      </c>
      <c r="C571" s="651" t="s">
        <v>1442</v>
      </c>
      <c r="D571" s="651">
        <v>1986</v>
      </c>
      <c r="E571" s="651">
        <v>10</v>
      </c>
      <c r="F571" s="651" t="s">
        <v>2179</v>
      </c>
      <c r="G571" s="677">
        <v>40</v>
      </c>
      <c r="H571" s="653">
        <v>0.15</v>
      </c>
      <c r="I571" s="653">
        <v>2.15</v>
      </c>
      <c r="J571" s="653"/>
      <c r="K571" s="651"/>
      <c r="L571" s="651"/>
      <c r="M571" s="651"/>
      <c r="N571" s="651"/>
      <c r="O571" s="651"/>
      <c r="P571" s="651"/>
    </row>
    <row r="572" spans="1:16" ht="18.75">
      <c r="A572" s="652">
        <v>568</v>
      </c>
      <c r="B572" s="651" t="s">
        <v>834</v>
      </c>
      <c r="C572" s="651" t="s">
        <v>1436</v>
      </c>
      <c r="D572" s="651">
        <v>1992</v>
      </c>
      <c r="E572" s="651">
        <v>10</v>
      </c>
      <c r="F572" s="651" t="s">
        <v>2179</v>
      </c>
      <c r="G572" s="678">
        <v>26</v>
      </c>
      <c r="H572" s="653"/>
      <c r="I572" s="653"/>
      <c r="J572" s="653"/>
      <c r="K572" s="651"/>
      <c r="L572" s="651"/>
      <c r="M572" s="651"/>
      <c r="N572" s="653"/>
      <c r="O572" s="651"/>
      <c r="P572" s="653"/>
    </row>
    <row r="573" spans="1:16" ht="31.5">
      <c r="A573" s="652">
        <v>569</v>
      </c>
      <c r="B573" s="651" t="s">
        <v>855</v>
      </c>
      <c r="C573" s="651" t="s">
        <v>1443</v>
      </c>
      <c r="D573" s="651">
        <v>1998</v>
      </c>
      <c r="E573" s="651">
        <v>10</v>
      </c>
      <c r="F573" s="651" t="s">
        <v>2179</v>
      </c>
      <c r="G573" s="677">
        <v>18</v>
      </c>
      <c r="H573" s="653"/>
      <c r="I573" s="653"/>
      <c r="J573" s="653"/>
      <c r="K573" s="651"/>
      <c r="L573" s="1411" t="s">
        <v>1344</v>
      </c>
      <c r="M573" s="1411" t="s">
        <v>2411</v>
      </c>
      <c r="N573" s="1411">
        <v>281.89</v>
      </c>
      <c r="O573" s="1411">
        <v>17</v>
      </c>
      <c r="P573" s="653"/>
    </row>
    <row r="574" spans="1:16" ht="18.75">
      <c r="A574" s="652">
        <v>570</v>
      </c>
      <c r="B574" s="651" t="s">
        <v>848</v>
      </c>
      <c r="C574" s="651" t="s">
        <v>849</v>
      </c>
      <c r="D574" s="651">
        <v>1991</v>
      </c>
      <c r="E574" s="651">
        <v>11</v>
      </c>
      <c r="F574" s="651" t="s">
        <v>2179</v>
      </c>
      <c r="G574" s="677">
        <v>15</v>
      </c>
      <c r="H574" s="653"/>
      <c r="I574" s="653"/>
      <c r="J574" s="653"/>
      <c r="K574" s="651"/>
      <c r="L574" s="651"/>
      <c r="M574" s="651"/>
      <c r="N574" s="653"/>
      <c r="O574" s="651"/>
      <c r="P574" s="653"/>
    </row>
    <row r="575" spans="1:16" ht="37.5">
      <c r="A575" s="652">
        <v>571</v>
      </c>
      <c r="B575" s="651" t="s">
        <v>1444</v>
      </c>
      <c r="C575" s="651" t="s">
        <v>912</v>
      </c>
      <c r="D575" s="651">
        <v>2006</v>
      </c>
      <c r="E575" s="651">
        <v>10</v>
      </c>
      <c r="F575" s="651" t="s">
        <v>2179</v>
      </c>
      <c r="G575" s="677">
        <v>15</v>
      </c>
      <c r="H575" s="653">
        <v>0.75</v>
      </c>
      <c r="I575" s="653">
        <v>9.11</v>
      </c>
      <c r="J575" s="653">
        <v>78.78</v>
      </c>
      <c r="K575" s="651"/>
      <c r="L575" s="651"/>
      <c r="M575" s="651"/>
      <c r="N575" s="651"/>
      <c r="O575" s="651"/>
      <c r="P575" s="651"/>
    </row>
    <row r="576" spans="1:16" ht="31.5">
      <c r="A576" s="652">
        <v>572</v>
      </c>
      <c r="B576" s="679" t="s">
        <v>875</v>
      </c>
      <c r="C576" s="651" t="s">
        <v>1397</v>
      </c>
      <c r="D576" s="680">
        <v>1990</v>
      </c>
      <c r="E576" s="651">
        <v>10</v>
      </c>
      <c r="F576" s="651" t="s">
        <v>1445</v>
      </c>
      <c r="G576" s="651" t="s">
        <v>1446</v>
      </c>
      <c r="H576" s="653"/>
      <c r="I576" s="653">
        <v>1.2</v>
      </c>
      <c r="J576" s="653">
        <v>0</v>
      </c>
      <c r="K576" s="651"/>
      <c r="L576" s="1411" t="s">
        <v>1344</v>
      </c>
      <c r="M576" s="1411" t="s">
        <v>2411</v>
      </c>
      <c r="N576" s="1411">
        <v>281.89</v>
      </c>
      <c r="O576" s="1411">
        <v>17</v>
      </c>
      <c r="P576" s="651"/>
    </row>
    <row r="577" spans="1:16" ht="18.75">
      <c r="A577" s="652">
        <v>573</v>
      </c>
      <c r="B577" s="679" t="s">
        <v>1447</v>
      </c>
      <c r="C577" s="651" t="s">
        <v>1448</v>
      </c>
      <c r="D577" s="680">
        <v>1988</v>
      </c>
      <c r="E577" s="651">
        <v>10</v>
      </c>
      <c r="F577" s="651" t="s">
        <v>1445</v>
      </c>
      <c r="G577" s="651">
        <v>26.2</v>
      </c>
      <c r="H577" s="653"/>
      <c r="I577" s="653">
        <v>0</v>
      </c>
      <c r="J577" s="653">
        <v>0</v>
      </c>
      <c r="K577" s="651"/>
      <c r="L577" s="651"/>
      <c r="M577" s="651"/>
      <c r="N577" s="651"/>
      <c r="O577" s="651"/>
      <c r="P577" s="651"/>
    </row>
    <row r="578" spans="1:16" ht="18.75">
      <c r="A578" s="652">
        <v>574</v>
      </c>
      <c r="B578" s="679" t="s">
        <v>1447</v>
      </c>
      <c r="C578" s="651" t="s">
        <v>1449</v>
      </c>
      <c r="D578" s="680">
        <v>1991</v>
      </c>
      <c r="E578" s="651">
        <v>10</v>
      </c>
      <c r="F578" s="651" t="s">
        <v>1445</v>
      </c>
      <c r="G578" s="651">
        <v>27.8</v>
      </c>
      <c r="H578" s="653"/>
      <c r="I578" s="653">
        <v>0</v>
      </c>
      <c r="J578" s="653">
        <v>0</v>
      </c>
      <c r="K578" s="651"/>
      <c r="L578" s="651"/>
      <c r="M578" s="651"/>
      <c r="N578" s="651"/>
      <c r="O578" s="651"/>
      <c r="P578" s="651"/>
    </row>
    <row r="579" spans="1:16" ht="18.75">
      <c r="A579" s="652">
        <v>575</v>
      </c>
      <c r="B579" s="679" t="s">
        <v>1131</v>
      </c>
      <c r="C579" s="651" t="s">
        <v>931</v>
      </c>
      <c r="D579" s="680">
        <v>1988</v>
      </c>
      <c r="E579" s="651">
        <v>10</v>
      </c>
      <c r="F579" s="651" t="s">
        <v>1445</v>
      </c>
      <c r="G579" s="651" t="s">
        <v>1450</v>
      </c>
      <c r="H579" s="653"/>
      <c r="I579" s="653">
        <v>0.7</v>
      </c>
      <c r="J579" s="653">
        <v>0</v>
      </c>
      <c r="K579" s="651"/>
      <c r="L579" s="651"/>
      <c r="M579" s="651"/>
      <c r="N579" s="651"/>
      <c r="O579" s="651"/>
      <c r="P579" s="651"/>
    </row>
    <row r="580" spans="1:16" ht="18.75">
      <c r="A580" s="652">
        <v>576</v>
      </c>
      <c r="B580" s="679" t="s">
        <v>1277</v>
      </c>
      <c r="C580" s="651" t="s">
        <v>1397</v>
      </c>
      <c r="D580" s="680">
        <v>1991</v>
      </c>
      <c r="E580" s="651">
        <v>10</v>
      </c>
      <c r="F580" s="651" t="s">
        <v>1445</v>
      </c>
      <c r="G580" s="651" t="s">
        <v>1446</v>
      </c>
      <c r="H580" s="653"/>
      <c r="I580" s="653">
        <v>0.13</v>
      </c>
      <c r="J580" s="653">
        <v>0</v>
      </c>
      <c r="K580" s="651"/>
      <c r="L580" s="651"/>
      <c r="M580" s="651"/>
      <c r="N580" s="651"/>
      <c r="O580" s="651"/>
      <c r="P580" s="651"/>
    </row>
    <row r="581" spans="1:16" ht="18.75">
      <c r="A581" s="652">
        <v>577</v>
      </c>
      <c r="B581" s="679" t="s">
        <v>1277</v>
      </c>
      <c r="C581" s="651" t="s">
        <v>1397</v>
      </c>
      <c r="D581" s="680">
        <v>2003</v>
      </c>
      <c r="E581" s="651">
        <v>10</v>
      </c>
      <c r="F581" s="651" t="s">
        <v>1445</v>
      </c>
      <c r="G581" s="651" t="s">
        <v>1156</v>
      </c>
      <c r="H581" s="653"/>
      <c r="I581" s="653">
        <v>3.9</v>
      </c>
      <c r="J581" s="653">
        <v>0</v>
      </c>
      <c r="K581" s="651"/>
      <c r="L581" s="651"/>
      <c r="M581" s="651"/>
      <c r="N581" s="651"/>
      <c r="O581" s="651"/>
      <c r="P581" s="651"/>
    </row>
    <row r="582" spans="1:16" ht="18.75">
      <c r="A582" s="652">
        <v>578</v>
      </c>
      <c r="B582" s="679" t="s">
        <v>1277</v>
      </c>
      <c r="C582" s="651" t="s">
        <v>1149</v>
      </c>
      <c r="D582" s="680">
        <v>1992</v>
      </c>
      <c r="E582" s="651">
        <v>10</v>
      </c>
      <c r="F582" s="651" t="s">
        <v>1445</v>
      </c>
      <c r="G582" s="651">
        <v>25</v>
      </c>
      <c r="H582" s="653"/>
      <c r="I582" s="653">
        <v>0.8</v>
      </c>
      <c r="J582" s="653">
        <v>0</v>
      </c>
      <c r="K582" s="651"/>
      <c r="L582" s="651"/>
      <c r="M582" s="651"/>
      <c r="N582" s="651"/>
      <c r="O582" s="651"/>
      <c r="P582" s="651"/>
    </row>
    <row r="583" spans="1:16" ht="18.75">
      <c r="A583" s="652">
        <v>579</v>
      </c>
      <c r="B583" s="679" t="s">
        <v>1277</v>
      </c>
      <c r="C583" s="651" t="s">
        <v>874</v>
      </c>
      <c r="D583" s="680">
        <v>1993</v>
      </c>
      <c r="E583" s="651">
        <v>10</v>
      </c>
      <c r="F583" s="651" t="s">
        <v>1445</v>
      </c>
      <c r="G583" s="651">
        <v>25</v>
      </c>
      <c r="H583" s="653"/>
      <c r="I583" s="653">
        <v>0.2</v>
      </c>
      <c r="J583" s="653">
        <v>154.86</v>
      </c>
      <c r="K583" s="651"/>
      <c r="L583" s="651"/>
      <c r="M583" s="651"/>
      <c r="N583" s="651"/>
      <c r="O583" s="651"/>
      <c r="P583" s="651"/>
    </row>
    <row r="584" spans="1:16" ht="18.75">
      <c r="A584" s="652">
        <v>580</v>
      </c>
      <c r="B584" s="679" t="s">
        <v>1451</v>
      </c>
      <c r="C584" s="651" t="s">
        <v>1452</v>
      </c>
      <c r="D584" s="680">
        <v>2005</v>
      </c>
      <c r="E584" s="651">
        <v>10</v>
      </c>
      <c r="F584" s="651" t="s">
        <v>1445</v>
      </c>
      <c r="G584" s="651">
        <v>16.8</v>
      </c>
      <c r="H584" s="653"/>
      <c r="I584" s="653">
        <v>1.01</v>
      </c>
      <c r="J584" s="653">
        <v>0</v>
      </c>
      <c r="K584" s="651"/>
      <c r="L584" s="651"/>
      <c r="M584" s="651"/>
      <c r="N584" s="651"/>
      <c r="O584" s="651"/>
      <c r="P584" s="651"/>
    </row>
    <row r="585" spans="1:16" ht="18.75">
      <c r="A585" s="652">
        <v>581</v>
      </c>
      <c r="B585" s="679" t="s">
        <v>1453</v>
      </c>
      <c r="C585" s="651" t="s">
        <v>1397</v>
      </c>
      <c r="D585" s="680">
        <v>2012</v>
      </c>
      <c r="E585" s="651">
        <v>10</v>
      </c>
      <c r="F585" s="651" t="s">
        <v>1445</v>
      </c>
      <c r="G585" s="651" t="s">
        <v>1454</v>
      </c>
      <c r="H585" s="653"/>
      <c r="I585" s="653">
        <v>0</v>
      </c>
      <c r="J585" s="653">
        <v>359.31</v>
      </c>
      <c r="K585" s="651"/>
      <c r="L585" s="651"/>
      <c r="M585" s="651"/>
      <c r="N585" s="651"/>
      <c r="O585" s="651"/>
      <c r="P585" s="651"/>
    </row>
    <row r="586" spans="1:16" ht="18.75">
      <c r="A586" s="652">
        <v>582</v>
      </c>
      <c r="B586" s="679" t="s">
        <v>1447</v>
      </c>
      <c r="C586" s="651" t="s">
        <v>1397</v>
      </c>
      <c r="D586" s="680">
        <v>1989</v>
      </c>
      <c r="E586" s="651">
        <v>10</v>
      </c>
      <c r="F586" s="651" t="s">
        <v>1445</v>
      </c>
      <c r="G586" s="651" t="s">
        <v>1446</v>
      </c>
      <c r="H586" s="653"/>
      <c r="I586" s="653">
        <v>0.35</v>
      </c>
      <c r="J586" s="653">
        <v>0</v>
      </c>
      <c r="K586" s="651"/>
      <c r="L586" s="651"/>
      <c r="M586" s="651"/>
      <c r="N586" s="651"/>
      <c r="O586" s="651"/>
      <c r="P586" s="651"/>
    </row>
    <row r="587" spans="1:16" ht="18.75">
      <c r="A587" s="652">
        <v>583</v>
      </c>
      <c r="B587" s="679" t="s">
        <v>855</v>
      </c>
      <c r="C587" s="651" t="s">
        <v>1452</v>
      </c>
      <c r="D587" s="680">
        <v>2008</v>
      </c>
      <c r="E587" s="651">
        <v>10</v>
      </c>
      <c r="F587" s="651" t="s">
        <v>1445</v>
      </c>
      <c r="G587" s="651">
        <v>17.5</v>
      </c>
      <c r="H587" s="653"/>
      <c r="I587" s="653">
        <v>5.2</v>
      </c>
      <c r="J587" s="653">
        <v>31.25</v>
      </c>
      <c r="K587" s="651"/>
      <c r="L587" s="651"/>
      <c r="M587" s="651"/>
      <c r="N587" s="651"/>
      <c r="O587" s="651"/>
      <c r="P587" s="651"/>
    </row>
    <row r="588" spans="1:16" ht="18.75">
      <c r="A588" s="652">
        <v>584</v>
      </c>
      <c r="B588" s="679" t="s">
        <v>883</v>
      </c>
      <c r="C588" s="651" t="s">
        <v>1333</v>
      </c>
      <c r="D588" s="680">
        <v>1998</v>
      </c>
      <c r="E588" s="651">
        <v>10</v>
      </c>
      <c r="F588" s="651" t="s">
        <v>1445</v>
      </c>
      <c r="G588" s="651">
        <v>16.8</v>
      </c>
      <c r="H588" s="653"/>
      <c r="I588" s="653">
        <v>0.41</v>
      </c>
      <c r="J588" s="653">
        <v>0</v>
      </c>
      <c r="K588" s="651"/>
      <c r="L588" s="651"/>
      <c r="M588" s="651"/>
      <c r="N588" s="651"/>
      <c r="O588" s="651"/>
      <c r="P588" s="651"/>
    </row>
    <row r="589" spans="1:16" ht="18.75">
      <c r="A589" s="652">
        <v>585</v>
      </c>
      <c r="B589" s="679" t="s">
        <v>875</v>
      </c>
      <c r="C589" s="651" t="s">
        <v>1455</v>
      </c>
      <c r="D589" s="680">
        <v>1992</v>
      </c>
      <c r="E589" s="651">
        <v>10</v>
      </c>
      <c r="F589" s="651" t="s">
        <v>1445</v>
      </c>
      <c r="G589" s="651">
        <v>27</v>
      </c>
      <c r="H589" s="653"/>
      <c r="I589" s="653">
        <v>0</v>
      </c>
      <c r="J589" s="653">
        <v>0</v>
      </c>
      <c r="K589" s="651"/>
      <c r="L589" s="651"/>
      <c r="M589" s="651"/>
      <c r="N589" s="651"/>
      <c r="O589" s="651"/>
      <c r="P589" s="651"/>
    </row>
    <row r="590" spans="1:16" ht="18.75">
      <c r="A590" s="652">
        <v>586</v>
      </c>
      <c r="B590" s="679" t="s">
        <v>850</v>
      </c>
      <c r="C590" s="651" t="s">
        <v>1455</v>
      </c>
      <c r="D590" s="680">
        <v>1992</v>
      </c>
      <c r="E590" s="651">
        <v>10</v>
      </c>
      <c r="F590" s="651" t="s">
        <v>1445</v>
      </c>
      <c r="G590" s="651">
        <v>25</v>
      </c>
      <c r="H590" s="653"/>
      <c r="I590" s="653">
        <v>0</v>
      </c>
      <c r="J590" s="653">
        <v>0</v>
      </c>
      <c r="K590" s="651"/>
      <c r="L590" s="651"/>
      <c r="M590" s="651"/>
      <c r="N590" s="651"/>
      <c r="O590" s="651"/>
      <c r="P590" s="651"/>
    </row>
    <row r="591" spans="1:16" ht="18.75">
      <c r="A591" s="652">
        <v>587</v>
      </c>
      <c r="B591" s="679" t="s">
        <v>1456</v>
      </c>
      <c r="C591" s="651" t="s">
        <v>853</v>
      </c>
      <c r="D591" s="680">
        <v>2008</v>
      </c>
      <c r="E591" s="651">
        <v>10</v>
      </c>
      <c r="F591" s="651" t="s">
        <v>1445</v>
      </c>
      <c r="G591" s="651">
        <v>7.7</v>
      </c>
      <c r="H591" s="653"/>
      <c r="I591" s="653">
        <v>2.1</v>
      </c>
      <c r="J591" s="653">
        <v>22.59</v>
      </c>
      <c r="K591" s="651"/>
      <c r="L591" s="651"/>
      <c r="M591" s="651"/>
      <c r="N591" s="651"/>
      <c r="O591" s="651"/>
      <c r="P591" s="651"/>
    </row>
    <row r="592" spans="1:16" ht="18.75">
      <c r="A592" s="652">
        <v>588</v>
      </c>
      <c r="B592" s="679" t="s">
        <v>1438</v>
      </c>
      <c r="C592" s="651" t="s">
        <v>853</v>
      </c>
      <c r="D592" s="680">
        <v>1999</v>
      </c>
      <c r="E592" s="651">
        <v>10</v>
      </c>
      <c r="F592" s="651" t="s">
        <v>1445</v>
      </c>
      <c r="G592" s="651">
        <v>8.7</v>
      </c>
      <c r="H592" s="653"/>
      <c r="I592" s="653">
        <v>3.8</v>
      </c>
      <c r="J592" s="653">
        <v>0</v>
      </c>
      <c r="K592" s="651"/>
      <c r="L592" s="651"/>
      <c r="M592" s="651"/>
      <c r="N592" s="651"/>
      <c r="O592" s="651"/>
      <c r="P592" s="651"/>
    </row>
    <row r="593" spans="1:16" ht="18.75">
      <c r="A593" s="652">
        <v>589</v>
      </c>
      <c r="B593" s="679" t="s">
        <v>835</v>
      </c>
      <c r="C593" s="651" t="s">
        <v>853</v>
      </c>
      <c r="D593" s="680">
        <v>1993</v>
      </c>
      <c r="E593" s="651">
        <v>10</v>
      </c>
      <c r="F593" s="651" t="s">
        <v>1445</v>
      </c>
      <c r="G593" s="651">
        <v>12</v>
      </c>
      <c r="H593" s="653"/>
      <c r="I593" s="653">
        <v>0</v>
      </c>
      <c r="J593" s="653">
        <v>0</v>
      </c>
      <c r="K593" s="651"/>
      <c r="L593" s="651"/>
      <c r="M593" s="651"/>
      <c r="N593" s="651"/>
      <c r="O593" s="651"/>
      <c r="P593" s="651"/>
    </row>
    <row r="594" spans="1:16" ht="18.75">
      <c r="A594" s="652">
        <v>590</v>
      </c>
      <c r="B594" s="681" t="s">
        <v>1133</v>
      </c>
      <c r="C594" s="651" t="s">
        <v>912</v>
      </c>
      <c r="D594" s="682">
        <v>1992</v>
      </c>
      <c r="E594" s="651">
        <v>10</v>
      </c>
      <c r="F594" s="651" t="s">
        <v>1445</v>
      </c>
      <c r="G594" s="651">
        <v>18</v>
      </c>
      <c r="H594" s="653"/>
      <c r="I594" s="653">
        <v>0.65</v>
      </c>
      <c r="J594" s="653">
        <v>10.23</v>
      </c>
      <c r="K594" s="651"/>
      <c r="L594" s="654"/>
      <c r="M594" s="654"/>
      <c r="N594" s="651"/>
      <c r="O594" s="651"/>
      <c r="P594" s="653"/>
    </row>
    <row r="595" spans="1:16" ht="18.75">
      <c r="A595" s="652">
        <v>591</v>
      </c>
      <c r="B595" s="681" t="s">
        <v>1133</v>
      </c>
      <c r="C595" s="651" t="s">
        <v>1457</v>
      </c>
      <c r="D595" s="682">
        <v>1992</v>
      </c>
      <c r="E595" s="651">
        <v>10</v>
      </c>
      <c r="F595" s="651" t="s">
        <v>1445</v>
      </c>
      <c r="G595" s="651">
        <v>15</v>
      </c>
      <c r="H595" s="653"/>
      <c r="I595" s="653">
        <v>0.02</v>
      </c>
      <c r="J595" s="653">
        <v>5.81</v>
      </c>
      <c r="K595" s="651"/>
      <c r="L595" s="654"/>
      <c r="M595" s="654"/>
      <c r="N595" s="655"/>
      <c r="O595" s="651"/>
      <c r="P595" s="653"/>
    </row>
    <row r="596" spans="1:16" ht="18.75">
      <c r="A596" s="652">
        <v>592</v>
      </c>
      <c r="B596" s="681" t="s">
        <v>889</v>
      </c>
      <c r="C596" s="651" t="s">
        <v>849</v>
      </c>
      <c r="D596" s="682">
        <v>1998</v>
      </c>
      <c r="E596" s="651">
        <v>10</v>
      </c>
      <c r="F596" s="651" t="s">
        <v>1445</v>
      </c>
      <c r="G596" s="651">
        <v>6.6</v>
      </c>
      <c r="H596" s="653"/>
      <c r="I596" s="653">
        <v>0.93</v>
      </c>
      <c r="J596" s="653">
        <v>2.27</v>
      </c>
      <c r="K596" s="651"/>
      <c r="L596" s="654"/>
      <c r="M596" s="651"/>
      <c r="N596" s="653"/>
      <c r="O596" s="651"/>
      <c r="P596" s="653"/>
    </row>
    <row r="597" spans="1:16" ht="18.75">
      <c r="A597" s="652">
        <v>593</v>
      </c>
      <c r="B597" s="681" t="s">
        <v>891</v>
      </c>
      <c r="C597" s="651" t="s">
        <v>849</v>
      </c>
      <c r="D597" s="682">
        <v>1990</v>
      </c>
      <c r="E597" s="651">
        <v>10</v>
      </c>
      <c r="F597" s="651" t="s">
        <v>1445</v>
      </c>
      <c r="G597" s="651">
        <v>3.6</v>
      </c>
      <c r="H597" s="653"/>
      <c r="I597" s="653">
        <v>0.4</v>
      </c>
      <c r="J597" s="653">
        <v>0</v>
      </c>
      <c r="K597" s="651"/>
      <c r="L597" s="654"/>
      <c r="M597" s="651"/>
      <c r="N597" s="656"/>
      <c r="O597" s="651"/>
      <c r="P597" s="653"/>
    </row>
    <row r="598" spans="1:16" ht="18.75">
      <c r="A598" s="652">
        <v>594</v>
      </c>
      <c r="B598" s="681" t="s">
        <v>891</v>
      </c>
      <c r="C598" s="651" t="s">
        <v>849</v>
      </c>
      <c r="D598" s="682">
        <v>1987</v>
      </c>
      <c r="E598" s="651">
        <v>10</v>
      </c>
      <c r="F598" s="651" t="s">
        <v>1445</v>
      </c>
      <c r="G598" s="651">
        <v>3.6</v>
      </c>
      <c r="H598" s="653"/>
      <c r="I598" s="653">
        <v>0</v>
      </c>
      <c r="J598" s="653">
        <v>0</v>
      </c>
      <c r="K598" s="651"/>
      <c r="L598" s="654"/>
      <c r="M598" s="651"/>
      <c r="N598" s="656"/>
      <c r="O598" s="651"/>
      <c r="P598" s="653"/>
    </row>
    <row r="599" spans="1:16" ht="18.75">
      <c r="A599" s="652">
        <v>595</v>
      </c>
      <c r="B599" s="681" t="s">
        <v>891</v>
      </c>
      <c r="C599" s="651" t="s">
        <v>849</v>
      </c>
      <c r="D599" s="682">
        <v>1999</v>
      </c>
      <c r="E599" s="651">
        <v>10</v>
      </c>
      <c r="F599" s="651" t="s">
        <v>1445</v>
      </c>
      <c r="G599" s="651">
        <v>3.6</v>
      </c>
      <c r="H599" s="653"/>
      <c r="I599" s="653">
        <v>0.02</v>
      </c>
      <c r="J599" s="653">
        <v>0.2</v>
      </c>
      <c r="K599" s="651"/>
      <c r="L599" s="654"/>
      <c r="M599" s="654"/>
      <c r="N599" s="655"/>
      <c r="O599" s="651"/>
      <c r="P599" s="653"/>
    </row>
    <row r="600" spans="1:16" ht="18.75">
      <c r="A600" s="652">
        <v>596</v>
      </c>
      <c r="B600" s="681" t="s">
        <v>1458</v>
      </c>
      <c r="C600" s="651" t="s">
        <v>893</v>
      </c>
      <c r="D600" s="682">
        <v>1990</v>
      </c>
      <c r="E600" s="651">
        <v>10</v>
      </c>
      <c r="F600" s="651" t="s">
        <v>1445</v>
      </c>
      <c r="G600" s="651">
        <v>0</v>
      </c>
      <c r="H600" s="653">
        <v>0</v>
      </c>
      <c r="I600" s="653">
        <v>0</v>
      </c>
      <c r="J600" s="653">
        <v>0</v>
      </c>
      <c r="K600" s="651"/>
      <c r="L600" s="654"/>
      <c r="M600" s="654"/>
      <c r="N600" s="655"/>
      <c r="O600" s="651"/>
      <c r="P600" s="653"/>
    </row>
    <row r="601" spans="1:16" ht="18.75">
      <c r="A601" s="652">
        <v>597</v>
      </c>
      <c r="B601" s="681" t="s">
        <v>1458</v>
      </c>
      <c r="C601" s="651" t="s">
        <v>893</v>
      </c>
      <c r="D601" s="682">
        <v>1988</v>
      </c>
      <c r="E601" s="651">
        <v>10</v>
      </c>
      <c r="F601" s="651" t="s">
        <v>1445</v>
      </c>
      <c r="G601" s="651">
        <v>0</v>
      </c>
      <c r="H601" s="653">
        <v>0</v>
      </c>
      <c r="I601" s="653">
        <v>0</v>
      </c>
      <c r="J601" s="653">
        <v>0</v>
      </c>
      <c r="K601" s="651"/>
      <c r="L601" s="654"/>
      <c r="M601" s="651"/>
      <c r="N601" s="653"/>
      <c r="O601" s="651"/>
      <c r="P601" s="651"/>
    </row>
    <row r="602" spans="1:16" ht="18.75">
      <c r="A602" s="652">
        <v>598</v>
      </c>
      <c r="B602" s="681" t="s">
        <v>1458</v>
      </c>
      <c r="C602" s="651" t="s">
        <v>893</v>
      </c>
      <c r="D602" s="682">
        <v>1988</v>
      </c>
      <c r="E602" s="651">
        <v>10</v>
      </c>
      <c r="F602" s="651" t="s">
        <v>1445</v>
      </c>
      <c r="G602" s="651">
        <v>0</v>
      </c>
      <c r="H602" s="653">
        <v>0</v>
      </c>
      <c r="I602" s="653">
        <v>0</v>
      </c>
      <c r="J602" s="653">
        <v>0</v>
      </c>
      <c r="K602" s="651"/>
      <c r="L602" s="654"/>
      <c r="M602" s="651"/>
      <c r="N602" s="653"/>
      <c r="O602" s="651"/>
      <c r="P602" s="651"/>
    </row>
    <row r="603" spans="1:16" ht="18.75">
      <c r="A603" s="652">
        <v>599</v>
      </c>
      <c r="B603" s="681" t="s">
        <v>1459</v>
      </c>
      <c r="C603" s="651" t="s">
        <v>893</v>
      </c>
      <c r="D603" s="682">
        <v>1990</v>
      </c>
      <c r="E603" s="651">
        <v>10</v>
      </c>
      <c r="F603" s="651" t="s">
        <v>1445</v>
      </c>
      <c r="G603" s="651">
        <v>0</v>
      </c>
      <c r="H603" s="653">
        <v>0</v>
      </c>
      <c r="I603" s="653">
        <v>0</v>
      </c>
      <c r="J603" s="653">
        <v>0</v>
      </c>
      <c r="K603" s="651"/>
      <c r="L603" s="654"/>
      <c r="M603" s="651"/>
      <c r="N603" s="653"/>
      <c r="O603" s="651"/>
      <c r="P603" s="651"/>
    </row>
    <row r="604" spans="1:16" ht="18.75">
      <c r="A604" s="652">
        <v>600</v>
      </c>
      <c r="B604" s="681" t="s">
        <v>1459</v>
      </c>
      <c r="C604" s="651" t="s">
        <v>893</v>
      </c>
      <c r="D604" s="682">
        <v>1990</v>
      </c>
      <c r="E604" s="651">
        <v>10</v>
      </c>
      <c r="F604" s="651" t="s">
        <v>1445</v>
      </c>
      <c r="G604" s="651">
        <v>0</v>
      </c>
      <c r="H604" s="653">
        <v>0</v>
      </c>
      <c r="I604" s="653">
        <v>0</v>
      </c>
      <c r="J604" s="653">
        <v>0</v>
      </c>
      <c r="K604" s="651"/>
      <c r="L604" s="654"/>
      <c r="M604" s="651"/>
      <c r="N604" s="653"/>
      <c r="O604" s="651"/>
      <c r="P604" s="651"/>
    </row>
    <row r="605" spans="1:16" ht="18.75">
      <c r="A605" s="652">
        <v>601</v>
      </c>
      <c r="B605" s="681" t="s">
        <v>1459</v>
      </c>
      <c r="C605" s="651" t="s">
        <v>893</v>
      </c>
      <c r="D605" s="682">
        <v>1989</v>
      </c>
      <c r="E605" s="651">
        <v>10</v>
      </c>
      <c r="F605" s="651" t="s">
        <v>1445</v>
      </c>
      <c r="G605" s="651">
        <v>0</v>
      </c>
      <c r="H605" s="653">
        <v>0</v>
      </c>
      <c r="I605" s="653">
        <v>0</v>
      </c>
      <c r="J605" s="653">
        <v>0</v>
      </c>
      <c r="K605" s="651"/>
      <c r="L605" s="654"/>
      <c r="M605" s="651"/>
      <c r="N605" s="653"/>
      <c r="O605" s="651"/>
      <c r="P605" s="651"/>
    </row>
    <row r="606" spans="1:16" ht="18.75">
      <c r="A606" s="652">
        <v>602</v>
      </c>
      <c r="B606" s="681" t="s">
        <v>1460</v>
      </c>
      <c r="C606" s="651" t="s">
        <v>893</v>
      </c>
      <c r="D606" s="682">
        <v>1990</v>
      </c>
      <c r="E606" s="651">
        <v>10</v>
      </c>
      <c r="F606" s="651" t="s">
        <v>1445</v>
      </c>
      <c r="G606" s="651">
        <v>0</v>
      </c>
      <c r="H606" s="653">
        <v>0</v>
      </c>
      <c r="I606" s="653">
        <v>0</v>
      </c>
      <c r="J606" s="653">
        <v>0</v>
      </c>
      <c r="K606" s="651"/>
      <c r="L606" s="654"/>
      <c r="M606" s="651"/>
      <c r="N606" s="653"/>
      <c r="O606" s="651"/>
      <c r="P606" s="651"/>
    </row>
    <row r="607" spans="1:16" ht="18.75">
      <c r="A607" s="652">
        <v>603</v>
      </c>
      <c r="B607" s="681" t="s">
        <v>1460</v>
      </c>
      <c r="C607" s="651" t="s">
        <v>893</v>
      </c>
      <c r="D607" s="682">
        <v>1980</v>
      </c>
      <c r="E607" s="651">
        <v>10</v>
      </c>
      <c r="F607" s="651" t="s">
        <v>1445</v>
      </c>
      <c r="G607" s="651">
        <v>0</v>
      </c>
      <c r="H607" s="653">
        <v>0</v>
      </c>
      <c r="I607" s="653">
        <v>0</v>
      </c>
      <c r="J607" s="653">
        <v>0</v>
      </c>
      <c r="K607" s="651"/>
      <c r="L607" s="654"/>
      <c r="M607" s="651"/>
      <c r="N607" s="653"/>
      <c r="O607" s="651"/>
      <c r="P607" s="651"/>
    </row>
    <row r="608" spans="1:16" ht="18.75">
      <c r="A608" s="652">
        <v>604</v>
      </c>
      <c r="B608" s="681" t="s">
        <v>1270</v>
      </c>
      <c r="C608" s="651" t="s">
        <v>893</v>
      </c>
      <c r="D608" s="682">
        <v>1980</v>
      </c>
      <c r="E608" s="651">
        <v>10</v>
      </c>
      <c r="F608" s="651" t="s">
        <v>1445</v>
      </c>
      <c r="G608" s="651">
        <v>0</v>
      </c>
      <c r="H608" s="653">
        <v>0</v>
      </c>
      <c r="I608" s="653">
        <v>0</v>
      </c>
      <c r="J608" s="653">
        <v>0</v>
      </c>
      <c r="K608" s="651"/>
      <c r="L608" s="654"/>
      <c r="M608" s="651"/>
      <c r="N608" s="653"/>
      <c r="O608" s="651"/>
      <c r="P608" s="651"/>
    </row>
    <row r="609" spans="1:16" ht="18.75">
      <c r="A609" s="652">
        <v>605</v>
      </c>
      <c r="B609" s="681" t="s">
        <v>1270</v>
      </c>
      <c r="C609" s="651" t="s">
        <v>893</v>
      </c>
      <c r="D609" s="682">
        <v>1980</v>
      </c>
      <c r="E609" s="651">
        <v>10</v>
      </c>
      <c r="F609" s="651" t="s">
        <v>1445</v>
      </c>
      <c r="G609" s="651">
        <v>0</v>
      </c>
      <c r="H609" s="653">
        <v>0</v>
      </c>
      <c r="I609" s="653">
        <v>0</v>
      </c>
      <c r="J609" s="653">
        <v>0</v>
      </c>
      <c r="K609" s="651"/>
      <c r="L609" s="654"/>
      <c r="M609" s="651"/>
      <c r="N609" s="653"/>
      <c r="O609" s="651"/>
      <c r="P609" s="651"/>
    </row>
    <row r="610" spans="1:16" ht="18.75">
      <c r="A610" s="652">
        <v>606</v>
      </c>
      <c r="B610" s="681" t="s">
        <v>1270</v>
      </c>
      <c r="C610" s="651" t="s">
        <v>893</v>
      </c>
      <c r="D610" s="682">
        <v>1990</v>
      </c>
      <c r="E610" s="651">
        <v>10</v>
      </c>
      <c r="F610" s="651" t="s">
        <v>1445</v>
      </c>
      <c r="G610" s="651">
        <v>0</v>
      </c>
      <c r="H610" s="653">
        <v>0</v>
      </c>
      <c r="I610" s="653">
        <v>0</v>
      </c>
      <c r="J610" s="653">
        <v>0</v>
      </c>
      <c r="K610" s="651"/>
      <c r="L610" s="654"/>
      <c r="M610" s="651"/>
      <c r="N610" s="653"/>
      <c r="O610" s="651"/>
      <c r="P610" s="651"/>
    </row>
    <row r="611" spans="1:16" ht="18.75">
      <c r="A611" s="652">
        <v>607</v>
      </c>
      <c r="B611" s="681" t="s">
        <v>891</v>
      </c>
      <c r="C611" s="651" t="s">
        <v>849</v>
      </c>
      <c r="D611" s="682">
        <v>1988</v>
      </c>
      <c r="E611" s="651">
        <v>10</v>
      </c>
      <c r="F611" s="651" t="s">
        <v>1445</v>
      </c>
      <c r="G611" s="651">
        <v>3.6</v>
      </c>
      <c r="H611" s="653"/>
      <c r="I611" s="653">
        <v>0</v>
      </c>
      <c r="J611" s="653">
        <v>0</v>
      </c>
      <c r="K611" s="651"/>
      <c r="L611" s="654"/>
      <c r="M611" s="651"/>
      <c r="N611" s="653"/>
      <c r="O611" s="651"/>
      <c r="P611" s="651"/>
    </row>
    <row r="612" spans="1:16" ht="37.5">
      <c r="A612" s="652">
        <v>608</v>
      </c>
      <c r="B612" s="683" t="s">
        <v>1112</v>
      </c>
      <c r="C612" s="651" t="s">
        <v>1461</v>
      </c>
      <c r="D612" s="684">
        <v>2002</v>
      </c>
      <c r="E612" s="651">
        <v>10</v>
      </c>
      <c r="F612" s="684" t="s">
        <v>320</v>
      </c>
      <c r="G612" s="651">
        <v>9.3</v>
      </c>
      <c r="H612" s="653"/>
      <c r="I612" s="129">
        <v>1.47</v>
      </c>
      <c r="J612" s="653">
        <v>0</v>
      </c>
      <c r="K612" s="651"/>
      <c r="L612" s="654"/>
      <c r="M612" s="654"/>
      <c r="N612" s="651"/>
      <c r="O612" s="651"/>
      <c r="P612" s="653"/>
    </row>
    <row r="613" spans="1:16" ht="37.5">
      <c r="A613" s="652">
        <v>609</v>
      </c>
      <c r="B613" s="683" t="s">
        <v>835</v>
      </c>
      <c r="C613" s="651" t="s">
        <v>1461</v>
      </c>
      <c r="D613" s="684">
        <v>1989</v>
      </c>
      <c r="E613" s="651">
        <v>10</v>
      </c>
      <c r="F613" s="684" t="s">
        <v>320</v>
      </c>
      <c r="G613" s="651">
        <v>12.3</v>
      </c>
      <c r="H613" s="653"/>
      <c r="I613" s="129">
        <v>0.3</v>
      </c>
      <c r="J613" s="653">
        <v>0</v>
      </c>
      <c r="K613" s="651"/>
      <c r="L613" s="654"/>
      <c r="M613" s="651"/>
      <c r="N613" s="653"/>
      <c r="O613" s="651"/>
      <c r="P613" s="653"/>
    </row>
    <row r="614" spans="1:16" ht="37.5">
      <c r="A614" s="652">
        <v>610</v>
      </c>
      <c r="B614" s="683" t="s">
        <v>1114</v>
      </c>
      <c r="C614" s="651" t="s">
        <v>1461</v>
      </c>
      <c r="D614" s="684">
        <v>1994</v>
      </c>
      <c r="E614" s="651">
        <v>10</v>
      </c>
      <c r="F614" s="684" t="s">
        <v>320</v>
      </c>
      <c r="G614" s="651">
        <v>16.5</v>
      </c>
      <c r="H614" s="653"/>
      <c r="I614" s="129">
        <v>0.62</v>
      </c>
      <c r="J614" s="653">
        <v>0</v>
      </c>
      <c r="K614" s="651"/>
      <c r="L614" s="654"/>
      <c r="M614" s="651"/>
      <c r="N614" s="653"/>
      <c r="O614" s="651"/>
      <c r="P614" s="653"/>
    </row>
    <row r="615" spans="1:16" ht="37.5">
      <c r="A615" s="652">
        <v>611</v>
      </c>
      <c r="B615" s="683" t="s">
        <v>852</v>
      </c>
      <c r="C615" s="651" t="s">
        <v>1461</v>
      </c>
      <c r="D615" s="684">
        <v>1981</v>
      </c>
      <c r="E615" s="651">
        <v>10</v>
      </c>
      <c r="F615" s="684" t="s">
        <v>320</v>
      </c>
      <c r="G615" s="651">
        <v>16.8</v>
      </c>
      <c r="H615" s="653"/>
      <c r="I615" s="129">
        <v>5.3</v>
      </c>
      <c r="J615" s="653">
        <v>0</v>
      </c>
      <c r="K615" s="651"/>
      <c r="L615" s="654"/>
      <c r="M615" s="651"/>
      <c r="N615" s="653"/>
      <c r="O615" s="651"/>
      <c r="P615" s="653"/>
    </row>
    <row r="616" spans="1:16" ht="37.5">
      <c r="A616" s="652">
        <v>612</v>
      </c>
      <c r="B616" s="683" t="s">
        <v>1366</v>
      </c>
      <c r="C616" s="651" t="s">
        <v>1462</v>
      </c>
      <c r="D616" s="684">
        <v>1998</v>
      </c>
      <c r="E616" s="651">
        <v>10</v>
      </c>
      <c r="F616" s="684" t="s">
        <v>320</v>
      </c>
      <c r="G616" s="651">
        <v>17.8</v>
      </c>
      <c r="H616" s="653"/>
      <c r="I616" s="129">
        <v>1.83</v>
      </c>
      <c r="J616" s="653">
        <v>0</v>
      </c>
      <c r="K616" s="651"/>
      <c r="L616" s="654"/>
      <c r="M616" s="651"/>
      <c r="N616" s="656"/>
      <c r="O616" s="651"/>
      <c r="P616" s="653"/>
    </row>
    <row r="617" spans="1:16" ht="37.5">
      <c r="A617" s="652">
        <v>613</v>
      </c>
      <c r="B617" s="683" t="s">
        <v>1463</v>
      </c>
      <c r="C617" s="651" t="s">
        <v>1462</v>
      </c>
      <c r="D617" s="684">
        <v>1985</v>
      </c>
      <c r="E617" s="651">
        <v>10</v>
      </c>
      <c r="F617" s="684" t="s">
        <v>320</v>
      </c>
      <c r="G617" s="651">
        <v>17.8</v>
      </c>
      <c r="H617" s="653"/>
      <c r="I617" s="129">
        <v>0.74</v>
      </c>
      <c r="J617" s="653">
        <v>0</v>
      </c>
      <c r="K617" s="651"/>
      <c r="L617" s="1411" t="s">
        <v>1344</v>
      </c>
      <c r="M617" s="1411" t="s">
        <v>2411</v>
      </c>
      <c r="N617" s="1411">
        <v>281.89</v>
      </c>
      <c r="O617" s="1411">
        <v>17</v>
      </c>
      <c r="P617" s="653"/>
    </row>
    <row r="618" spans="1:16" ht="37.5">
      <c r="A618" s="652">
        <v>614</v>
      </c>
      <c r="B618" s="683" t="s">
        <v>850</v>
      </c>
      <c r="C618" s="651" t="s">
        <v>926</v>
      </c>
      <c r="D618" s="684">
        <v>1992</v>
      </c>
      <c r="E618" s="651">
        <v>10</v>
      </c>
      <c r="F618" s="684" t="s">
        <v>320</v>
      </c>
      <c r="G618" s="651">
        <v>26.2</v>
      </c>
      <c r="H618" s="653"/>
      <c r="I618" s="653"/>
      <c r="J618" s="653">
        <v>0</v>
      </c>
      <c r="K618" s="651"/>
      <c r="L618" s="654"/>
      <c r="M618" s="651"/>
      <c r="N618" s="656"/>
      <c r="O618" s="651"/>
      <c r="P618" s="653"/>
    </row>
    <row r="619" spans="1:16" ht="37.5">
      <c r="A619" s="652">
        <v>615</v>
      </c>
      <c r="B619" s="683" t="s">
        <v>855</v>
      </c>
      <c r="C619" s="651" t="s">
        <v>1464</v>
      </c>
      <c r="D619" s="684">
        <v>1999</v>
      </c>
      <c r="E619" s="651">
        <v>10</v>
      </c>
      <c r="F619" s="684" t="s">
        <v>320</v>
      </c>
      <c r="G619" s="651">
        <v>17.8</v>
      </c>
      <c r="H619" s="653"/>
      <c r="I619" s="129">
        <v>1.8</v>
      </c>
      <c r="J619" s="653">
        <v>0</v>
      </c>
      <c r="K619" s="651"/>
      <c r="L619" s="654"/>
      <c r="M619" s="654"/>
      <c r="N619" s="655"/>
      <c r="O619" s="651"/>
      <c r="P619" s="653"/>
    </row>
    <row r="620" spans="1:16" ht="56.25">
      <c r="A620" s="652">
        <v>616</v>
      </c>
      <c r="B620" s="684" t="s">
        <v>1465</v>
      </c>
      <c r="C620" s="651" t="s">
        <v>1464</v>
      </c>
      <c r="D620" s="684">
        <v>2008</v>
      </c>
      <c r="E620" s="651">
        <v>10</v>
      </c>
      <c r="F620" s="684" t="s">
        <v>320</v>
      </c>
      <c r="G620" s="651">
        <v>17.5</v>
      </c>
      <c r="H620" s="653"/>
      <c r="I620" s="129">
        <v>0.8</v>
      </c>
      <c r="J620" s="685">
        <v>26.67</v>
      </c>
      <c r="K620" s="651"/>
      <c r="L620" s="654"/>
      <c r="M620" s="651"/>
      <c r="N620" s="653"/>
      <c r="O620" s="651"/>
      <c r="P620" s="651"/>
    </row>
    <row r="621" spans="1:16" ht="37.5">
      <c r="A621" s="652">
        <v>617</v>
      </c>
      <c r="B621" s="684" t="s">
        <v>1466</v>
      </c>
      <c r="C621" s="651" t="s">
        <v>1464</v>
      </c>
      <c r="D621" s="684">
        <v>2007</v>
      </c>
      <c r="E621" s="651">
        <v>10</v>
      </c>
      <c r="F621" s="684" t="s">
        <v>320</v>
      </c>
      <c r="G621" s="651" t="s">
        <v>1467</v>
      </c>
      <c r="H621" s="653"/>
      <c r="I621" s="129">
        <v>2.96</v>
      </c>
      <c r="J621" s="685">
        <v>13.46</v>
      </c>
      <c r="K621" s="651"/>
      <c r="L621" s="654"/>
      <c r="M621" s="651"/>
      <c r="N621" s="655"/>
      <c r="O621" s="651"/>
      <c r="P621" s="651"/>
    </row>
    <row r="622" spans="1:16" ht="37.5">
      <c r="A622" s="652">
        <v>618</v>
      </c>
      <c r="B622" s="683" t="s">
        <v>876</v>
      </c>
      <c r="C622" s="651" t="s">
        <v>1468</v>
      </c>
      <c r="D622" s="684">
        <v>1986</v>
      </c>
      <c r="E622" s="651">
        <v>10</v>
      </c>
      <c r="F622" s="684" t="s">
        <v>320</v>
      </c>
      <c r="G622" s="651">
        <v>31.4</v>
      </c>
      <c r="H622" s="653"/>
      <c r="I622" s="129">
        <v>0.18</v>
      </c>
      <c r="J622" s="653">
        <v>0</v>
      </c>
      <c r="K622" s="651"/>
      <c r="L622" s="654"/>
      <c r="M622" s="651"/>
      <c r="N622" s="653"/>
      <c r="O622" s="651"/>
      <c r="P622" s="651"/>
    </row>
    <row r="623" spans="1:16" ht="37.5">
      <c r="A623" s="652">
        <v>619</v>
      </c>
      <c r="B623" s="683" t="s">
        <v>876</v>
      </c>
      <c r="C623" s="651" t="s">
        <v>1468</v>
      </c>
      <c r="D623" s="684">
        <v>1992</v>
      </c>
      <c r="E623" s="651">
        <v>10</v>
      </c>
      <c r="F623" s="684" t="s">
        <v>320</v>
      </c>
      <c r="G623" s="651">
        <v>31.4</v>
      </c>
      <c r="H623" s="653"/>
      <c r="I623" s="129">
        <v>0</v>
      </c>
      <c r="J623" s="653">
        <v>0</v>
      </c>
      <c r="K623" s="651"/>
      <c r="L623" s="654"/>
      <c r="M623" s="654"/>
      <c r="N623" s="655"/>
      <c r="O623" s="651"/>
      <c r="P623" s="653"/>
    </row>
    <row r="624" spans="1:16" ht="37.5">
      <c r="A624" s="652">
        <v>620</v>
      </c>
      <c r="B624" s="683" t="s">
        <v>876</v>
      </c>
      <c r="C624" s="651" t="s">
        <v>1448</v>
      </c>
      <c r="D624" s="684">
        <v>1991</v>
      </c>
      <c r="E624" s="651">
        <v>10</v>
      </c>
      <c r="F624" s="684" t="s">
        <v>320</v>
      </c>
      <c r="G624" s="651">
        <v>31.4</v>
      </c>
      <c r="H624" s="653"/>
      <c r="I624" s="129">
        <v>0</v>
      </c>
      <c r="J624" s="653">
        <v>0</v>
      </c>
      <c r="K624" s="651"/>
      <c r="L624" s="654"/>
      <c r="M624" s="651"/>
      <c r="N624" s="653"/>
      <c r="O624" s="651"/>
      <c r="P624" s="653"/>
    </row>
    <row r="625" spans="1:16" ht="37.5">
      <c r="A625" s="652">
        <v>621</v>
      </c>
      <c r="B625" s="684" t="s">
        <v>833</v>
      </c>
      <c r="C625" s="651" t="s">
        <v>1469</v>
      </c>
      <c r="D625" s="684">
        <v>1985</v>
      </c>
      <c r="E625" s="651">
        <v>10</v>
      </c>
      <c r="F625" s="684" t="s">
        <v>320</v>
      </c>
      <c r="G625" s="651" t="s">
        <v>1470</v>
      </c>
      <c r="H625" s="653"/>
      <c r="I625" s="129">
        <v>0.88</v>
      </c>
      <c r="J625" s="653">
        <v>0</v>
      </c>
      <c r="K625" s="651"/>
      <c r="L625" s="654"/>
      <c r="M625" s="651"/>
      <c r="N625" s="653"/>
      <c r="O625" s="651"/>
      <c r="P625" s="653"/>
    </row>
    <row r="626" spans="1:16" ht="37.5">
      <c r="A626" s="652">
        <v>622</v>
      </c>
      <c r="B626" s="684" t="s">
        <v>833</v>
      </c>
      <c r="C626" s="651" t="s">
        <v>1469</v>
      </c>
      <c r="D626" s="684">
        <v>1991</v>
      </c>
      <c r="E626" s="651">
        <v>10</v>
      </c>
      <c r="F626" s="684" t="s">
        <v>320</v>
      </c>
      <c r="G626" s="651" t="s">
        <v>1471</v>
      </c>
      <c r="H626" s="653"/>
      <c r="I626" s="129">
        <v>2.19</v>
      </c>
      <c r="J626" s="653">
        <v>0</v>
      </c>
      <c r="K626" s="651"/>
      <c r="L626" s="654"/>
      <c r="M626" s="651"/>
      <c r="N626" s="653"/>
      <c r="O626" s="651"/>
      <c r="P626" s="653"/>
    </row>
    <row r="627" spans="1:16" ht="37.5">
      <c r="A627" s="652">
        <v>623</v>
      </c>
      <c r="B627" s="684" t="s">
        <v>1472</v>
      </c>
      <c r="C627" s="651" t="s">
        <v>841</v>
      </c>
      <c r="D627" s="684">
        <v>1991</v>
      </c>
      <c r="E627" s="651">
        <v>10</v>
      </c>
      <c r="F627" s="684" t="s">
        <v>320</v>
      </c>
      <c r="G627" s="651" t="s">
        <v>1473</v>
      </c>
      <c r="H627" s="653"/>
      <c r="I627" s="129">
        <v>3.6</v>
      </c>
      <c r="J627" s="653">
        <v>0</v>
      </c>
      <c r="K627" s="651"/>
      <c r="L627" s="654"/>
      <c r="M627" s="651"/>
      <c r="N627" s="656"/>
      <c r="O627" s="651"/>
      <c r="P627" s="653"/>
    </row>
    <row r="628" spans="1:16" ht="37.5">
      <c r="A628" s="652">
        <v>624</v>
      </c>
      <c r="B628" s="684" t="s">
        <v>1474</v>
      </c>
      <c r="C628" s="651" t="s">
        <v>841</v>
      </c>
      <c r="D628" s="684">
        <v>2006</v>
      </c>
      <c r="E628" s="651">
        <v>10</v>
      </c>
      <c r="F628" s="684" t="s">
        <v>320</v>
      </c>
      <c r="G628" s="651" t="s">
        <v>1475</v>
      </c>
      <c r="H628" s="653"/>
      <c r="I628" s="129">
        <v>0.53</v>
      </c>
      <c r="J628" s="685">
        <v>45.65</v>
      </c>
      <c r="K628" s="651"/>
      <c r="L628" s="654"/>
      <c r="M628" s="651"/>
      <c r="N628" s="656"/>
      <c r="O628" s="651"/>
      <c r="P628" s="653"/>
    </row>
    <row r="629" spans="1:16" ht="37.5">
      <c r="A629" s="652">
        <v>625</v>
      </c>
      <c r="B629" s="686" t="s">
        <v>1476</v>
      </c>
      <c r="C629" s="651" t="s">
        <v>931</v>
      </c>
      <c r="D629" s="684">
        <v>1990</v>
      </c>
      <c r="E629" s="651">
        <v>10</v>
      </c>
      <c r="F629" s="684" t="s">
        <v>320</v>
      </c>
      <c r="G629" s="651" t="s">
        <v>1477</v>
      </c>
      <c r="H629" s="653"/>
      <c r="I629" s="653"/>
      <c r="J629" s="653">
        <v>0</v>
      </c>
      <c r="K629" s="651"/>
      <c r="L629" s="654"/>
      <c r="M629" s="651"/>
      <c r="N629" s="656"/>
      <c r="O629" s="651"/>
      <c r="P629" s="653"/>
    </row>
    <row r="630" spans="1:16" ht="37.5">
      <c r="A630" s="652">
        <v>626</v>
      </c>
      <c r="B630" s="125" t="s">
        <v>1478</v>
      </c>
      <c r="C630" s="651" t="s">
        <v>1464</v>
      </c>
      <c r="D630" s="651">
        <v>2012</v>
      </c>
      <c r="E630" s="651">
        <v>10</v>
      </c>
      <c r="F630" s="684" t="s">
        <v>320</v>
      </c>
      <c r="G630" s="651">
        <v>12.9</v>
      </c>
      <c r="H630" s="653"/>
      <c r="I630" s="653"/>
      <c r="J630" s="685">
        <v>152.9</v>
      </c>
      <c r="K630" s="651"/>
      <c r="L630" s="651"/>
      <c r="M630" s="651"/>
      <c r="N630" s="651"/>
      <c r="O630" s="651"/>
      <c r="P630" s="651"/>
    </row>
    <row r="631" spans="1:16" ht="37.5">
      <c r="A631" s="652">
        <v>627</v>
      </c>
      <c r="B631" s="686" t="s">
        <v>1479</v>
      </c>
      <c r="C631" s="651" t="s">
        <v>1480</v>
      </c>
      <c r="D631" s="684">
        <v>1990</v>
      </c>
      <c r="E631" s="651">
        <v>10</v>
      </c>
      <c r="F631" s="684" t="s">
        <v>320</v>
      </c>
      <c r="G631" s="651" t="s">
        <v>1481</v>
      </c>
      <c r="H631" s="653"/>
      <c r="I631" s="129">
        <v>0</v>
      </c>
      <c r="J631" s="653">
        <v>0</v>
      </c>
      <c r="K631" s="651"/>
      <c r="L631" s="654"/>
      <c r="M631" s="654"/>
      <c r="N631" s="655"/>
      <c r="O631" s="651"/>
      <c r="P631" s="653"/>
    </row>
    <row r="632" spans="1:16" ht="37.5">
      <c r="A632" s="652">
        <v>628</v>
      </c>
      <c r="B632" s="686" t="s">
        <v>831</v>
      </c>
      <c r="C632" s="651" t="s">
        <v>1482</v>
      </c>
      <c r="D632" s="684">
        <v>1987</v>
      </c>
      <c r="E632" s="651">
        <v>10</v>
      </c>
      <c r="F632" s="684" t="s">
        <v>320</v>
      </c>
      <c r="G632" s="651" t="s">
        <v>1483</v>
      </c>
      <c r="H632" s="653"/>
      <c r="I632" s="129">
        <v>16.2</v>
      </c>
      <c r="J632" s="653">
        <v>0</v>
      </c>
      <c r="K632" s="651"/>
      <c r="L632" s="651" t="s">
        <v>2230</v>
      </c>
      <c r="M632" s="651" t="s">
        <v>2231</v>
      </c>
      <c r="N632" s="653">
        <v>1097.21</v>
      </c>
      <c r="O632" s="651">
        <v>15</v>
      </c>
      <c r="P632" s="651"/>
    </row>
    <row r="633" spans="1:16" ht="37.5">
      <c r="A633" s="652">
        <v>629</v>
      </c>
      <c r="B633" s="686" t="s">
        <v>889</v>
      </c>
      <c r="C633" s="651" t="s">
        <v>1484</v>
      </c>
      <c r="D633" s="684">
        <v>1992</v>
      </c>
      <c r="E633" s="651">
        <v>10</v>
      </c>
      <c r="F633" s="684" t="s">
        <v>320</v>
      </c>
      <c r="G633" s="651" t="s">
        <v>1485</v>
      </c>
      <c r="H633" s="653"/>
      <c r="I633" s="129">
        <v>0.86</v>
      </c>
      <c r="J633" s="653">
        <v>0</v>
      </c>
      <c r="K633" s="651"/>
      <c r="L633" s="654"/>
      <c r="M633" s="651"/>
      <c r="N633" s="655"/>
      <c r="O633" s="651"/>
      <c r="P633" s="651"/>
    </row>
    <row r="634" spans="1:16" ht="37.5">
      <c r="A634" s="652">
        <v>630</v>
      </c>
      <c r="B634" s="686" t="s">
        <v>846</v>
      </c>
      <c r="C634" s="651" t="s">
        <v>915</v>
      </c>
      <c r="D634" s="684">
        <v>1998</v>
      </c>
      <c r="E634" s="651">
        <v>10</v>
      </c>
      <c r="F634" s="684" t="s">
        <v>320</v>
      </c>
      <c r="G634" s="651"/>
      <c r="H634" s="653"/>
      <c r="I634" s="653"/>
      <c r="J634" s="653">
        <v>0</v>
      </c>
      <c r="K634" s="651"/>
      <c r="L634" s="654"/>
      <c r="M634" s="651"/>
      <c r="N634" s="653"/>
      <c r="O634" s="651"/>
      <c r="P634" s="651"/>
    </row>
    <row r="635" spans="1:16" ht="37.5">
      <c r="A635" s="652">
        <v>631</v>
      </c>
      <c r="B635" s="686" t="s">
        <v>857</v>
      </c>
      <c r="C635" s="651" t="s">
        <v>915</v>
      </c>
      <c r="D635" s="684">
        <v>1993</v>
      </c>
      <c r="E635" s="651">
        <v>10</v>
      </c>
      <c r="F635" s="684" t="s">
        <v>320</v>
      </c>
      <c r="G635" s="651"/>
      <c r="H635" s="653"/>
      <c r="I635" s="130">
        <v>2.87</v>
      </c>
      <c r="J635" s="653">
        <v>0</v>
      </c>
      <c r="K635" s="651"/>
      <c r="L635" s="651"/>
      <c r="M635" s="651"/>
      <c r="N635" s="651"/>
      <c r="O635" s="651"/>
      <c r="P635" s="651"/>
    </row>
    <row r="636" spans="1:16" ht="37.5">
      <c r="A636" s="652">
        <v>632</v>
      </c>
      <c r="B636" s="686" t="s">
        <v>1430</v>
      </c>
      <c r="C636" s="651" t="s">
        <v>1486</v>
      </c>
      <c r="D636" s="684">
        <v>1968</v>
      </c>
      <c r="E636" s="651">
        <v>10</v>
      </c>
      <c r="F636" s="684" t="s">
        <v>320</v>
      </c>
      <c r="G636" s="651"/>
      <c r="H636" s="653"/>
      <c r="I636" s="653"/>
      <c r="J636" s="653">
        <v>0</v>
      </c>
      <c r="K636" s="651"/>
      <c r="L636" s="651"/>
      <c r="M636" s="651"/>
      <c r="N636" s="651"/>
      <c r="O636" s="651"/>
      <c r="P636" s="651"/>
    </row>
    <row r="637" spans="1:16" ht="37.5">
      <c r="A637" s="652">
        <v>633</v>
      </c>
      <c r="B637" s="651" t="s">
        <v>1487</v>
      </c>
      <c r="C637" s="651" t="s">
        <v>900</v>
      </c>
      <c r="D637" s="651">
        <v>2006</v>
      </c>
      <c r="E637" s="651">
        <v>10</v>
      </c>
      <c r="F637" s="651" t="s">
        <v>844</v>
      </c>
      <c r="G637" s="651">
        <v>37.5</v>
      </c>
      <c r="H637" s="653"/>
      <c r="I637" s="653">
        <v>0.82</v>
      </c>
      <c r="J637" s="653">
        <v>0</v>
      </c>
      <c r="K637" s="651"/>
      <c r="L637" s="654"/>
      <c r="M637" s="654"/>
      <c r="N637" s="651"/>
      <c r="O637" s="651"/>
      <c r="P637" s="653"/>
    </row>
    <row r="638" spans="1:16" ht="63" customHeight="1">
      <c r="A638" s="652">
        <v>634</v>
      </c>
      <c r="B638" s="651" t="s">
        <v>875</v>
      </c>
      <c r="C638" s="651" t="s">
        <v>1488</v>
      </c>
      <c r="D638" s="651">
        <v>1991</v>
      </c>
      <c r="E638" s="651">
        <v>10</v>
      </c>
      <c r="F638" s="651" t="s">
        <v>844</v>
      </c>
      <c r="G638" s="651">
        <v>25</v>
      </c>
      <c r="H638" s="653">
        <v>0</v>
      </c>
      <c r="I638" s="653">
        <v>0</v>
      </c>
      <c r="J638" s="653">
        <v>0</v>
      </c>
      <c r="K638" s="651"/>
      <c r="L638" s="654"/>
      <c r="M638" s="654"/>
      <c r="N638" s="655"/>
      <c r="O638" s="651"/>
      <c r="P638" s="653"/>
    </row>
    <row r="639" spans="1:16" ht="37.5">
      <c r="A639" s="652">
        <v>635</v>
      </c>
      <c r="B639" s="651" t="s">
        <v>1489</v>
      </c>
      <c r="C639" s="651" t="s">
        <v>900</v>
      </c>
      <c r="D639" s="651">
        <v>2012</v>
      </c>
      <c r="E639" s="651">
        <v>10</v>
      </c>
      <c r="F639" s="651" t="s">
        <v>844</v>
      </c>
      <c r="G639" s="651">
        <v>27.4</v>
      </c>
      <c r="H639" s="653"/>
      <c r="I639" s="653"/>
      <c r="J639" s="653">
        <v>359.07</v>
      </c>
      <c r="K639" s="651"/>
      <c r="L639" s="654"/>
      <c r="M639" s="654"/>
      <c r="N639" s="655"/>
      <c r="O639" s="651"/>
      <c r="P639" s="653"/>
    </row>
    <row r="640" spans="1:16" ht="37.5">
      <c r="A640" s="652">
        <v>636</v>
      </c>
      <c r="B640" s="651" t="s">
        <v>1472</v>
      </c>
      <c r="C640" s="651" t="s">
        <v>900</v>
      </c>
      <c r="D640" s="651">
        <v>1993</v>
      </c>
      <c r="E640" s="651">
        <v>10</v>
      </c>
      <c r="F640" s="651" t="s">
        <v>844</v>
      </c>
      <c r="G640" s="651">
        <v>37.5</v>
      </c>
      <c r="H640" s="653"/>
      <c r="I640" s="653"/>
      <c r="J640" s="653">
        <v>0</v>
      </c>
      <c r="K640" s="651"/>
      <c r="L640" s="654"/>
      <c r="M640" s="651"/>
      <c r="N640" s="653"/>
      <c r="O640" s="651"/>
      <c r="P640" s="653"/>
    </row>
    <row r="641" spans="1:16" ht="37.5">
      <c r="A641" s="652">
        <v>637</v>
      </c>
      <c r="B641" s="651" t="s">
        <v>1490</v>
      </c>
      <c r="C641" s="651" t="s">
        <v>1145</v>
      </c>
      <c r="D641" s="651">
        <v>1999</v>
      </c>
      <c r="E641" s="651">
        <v>10</v>
      </c>
      <c r="F641" s="651" t="s">
        <v>844</v>
      </c>
      <c r="G641" s="651">
        <v>8.3</v>
      </c>
      <c r="H641" s="653"/>
      <c r="I641" s="653">
        <v>2.64</v>
      </c>
      <c r="J641" s="653">
        <v>0</v>
      </c>
      <c r="K641" s="651"/>
      <c r="L641" s="654"/>
      <c r="M641" s="651"/>
      <c r="N641" s="656"/>
      <c r="O641" s="651"/>
      <c r="P641" s="653"/>
    </row>
    <row r="642" spans="1:16" ht="37.5">
      <c r="A642" s="652">
        <v>638</v>
      </c>
      <c r="B642" s="651" t="s">
        <v>1150</v>
      </c>
      <c r="C642" s="651" t="s">
        <v>1491</v>
      </c>
      <c r="D642" s="651">
        <v>1999</v>
      </c>
      <c r="E642" s="651">
        <v>10</v>
      </c>
      <c r="F642" s="651" t="s">
        <v>844</v>
      </c>
      <c r="G642" s="651">
        <v>16</v>
      </c>
      <c r="H642" s="653"/>
      <c r="I642" s="653">
        <v>9.94</v>
      </c>
      <c r="J642" s="653">
        <v>0</v>
      </c>
      <c r="K642" s="651"/>
      <c r="L642" s="654"/>
      <c r="M642" s="654"/>
      <c r="N642" s="655"/>
      <c r="O642" s="651"/>
      <c r="P642" s="653"/>
    </row>
    <row r="643" spans="1:16" ht="37.5">
      <c r="A643" s="652">
        <v>639</v>
      </c>
      <c r="B643" s="651" t="s">
        <v>1150</v>
      </c>
      <c r="C643" s="651" t="s">
        <v>1491</v>
      </c>
      <c r="D643" s="651">
        <v>1999</v>
      </c>
      <c r="E643" s="651">
        <v>10</v>
      </c>
      <c r="F643" s="651" t="s">
        <v>844</v>
      </c>
      <c r="G643" s="651">
        <v>16</v>
      </c>
      <c r="H643" s="653"/>
      <c r="I643" s="653">
        <v>3.27</v>
      </c>
      <c r="J643" s="653">
        <v>0</v>
      </c>
      <c r="K643" s="651"/>
      <c r="L643" s="654"/>
      <c r="M643" s="651"/>
      <c r="N643" s="653"/>
      <c r="O643" s="651"/>
      <c r="P643" s="651"/>
    </row>
    <row r="644" spans="1:16" ht="37.5">
      <c r="A644" s="652">
        <v>640</v>
      </c>
      <c r="B644" s="651" t="s">
        <v>1492</v>
      </c>
      <c r="C644" s="651" t="s">
        <v>1493</v>
      </c>
      <c r="D644" s="651">
        <v>2003</v>
      </c>
      <c r="E644" s="651">
        <v>10</v>
      </c>
      <c r="F644" s="651" t="s">
        <v>844</v>
      </c>
      <c r="G644" s="651">
        <v>18</v>
      </c>
      <c r="H644" s="653"/>
      <c r="I644" s="653">
        <v>0.61</v>
      </c>
      <c r="J644" s="653">
        <v>0</v>
      </c>
      <c r="K644" s="651"/>
      <c r="L644" s="654"/>
      <c r="M644" s="651"/>
      <c r="N644" s="655"/>
      <c r="O644" s="651"/>
      <c r="P644" s="651"/>
    </row>
    <row r="645" spans="1:16" ht="37.5">
      <c r="A645" s="652">
        <v>641</v>
      </c>
      <c r="B645" s="651" t="s">
        <v>1494</v>
      </c>
      <c r="C645" s="651" t="s">
        <v>1493</v>
      </c>
      <c r="D645" s="651">
        <v>1998</v>
      </c>
      <c r="E645" s="651">
        <v>10</v>
      </c>
      <c r="F645" s="651" t="s">
        <v>844</v>
      </c>
      <c r="G645" s="651">
        <v>16</v>
      </c>
      <c r="H645" s="653"/>
      <c r="I645" s="653"/>
      <c r="J645" s="653">
        <v>0</v>
      </c>
      <c r="K645" s="651"/>
      <c r="L645" s="654"/>
      <c r="M645" s="651"/>
      <c r="N645" s="653"/>
      <c r="O645" s="651"/>
      <c r="P645" s="651"/>
    </row>
    <row r="646" spans="1:16" ht="37.5">
      <c r="A646" s="652">
        <v>642</v>
      </c>
      <c r="B646" s="651" t="s">
        <v>1495</v>
      </c>
      <c r="C646" s="651" t="s">
        <v>1493</v>
      </c>
      <c r="D646" s="651">
        <v>2011</v>
      </c>
      <c r="E646" s="651">
        <v>10</v>
      </c>
      <c r="F646" s="651" t="s">
        <v>844</v>
      </c>
      <c r="G646" s="651">
        <v>14.5</v>
      </c>
      <c r="H646" s="653"/>
      <c r="I646" s="653"/>
      <c r="J646" s="653">
        <v>152.98</v>
      </c>
      <c r="K646" s="651"/>
      <c r="L646" s="651"/>
      <c r="M646" s="651"/>
      <c r="N646" s="651"/>
      <c r="O646" s="651"/>
      <c r="P646" s="651"/>
    </row>
    <row r="647" spans="1:16" ht="37.5">
      <c r="A647" s="652">
        <v>643</v>
      </c>
      <c r="B647" s="651" t="s">
        <v>843</v>
      </c>
      <c r="C647" s="651" t="s">
        <v>1493</v>
      </c>
      <c r="D647" s="651">
        <v>1999</v>
      </c>
      <c r="E647" s="651">
        <v>10</v>
      </c>
      <c r="F647" s="651" t="s">
        <v>844</v>
      </c>
      <c r="G647" s="651">
        <v>17</v>
      </c>
      <c r="H647" s="653"/>
      <c r="I647" s="653">
        <v>3.84</v>
      </c>
      <c r="J647" s="653">
        <v>0</v>
      </c>
      <c r="K647" s="651"/>
      <c r="L647" s="1411" t="s">
        <v>1344</v>
      </c>
      <c r="M647" s="1411" t="s">
        <v>2411</v>
      </c>
      <c r="N647" s="1411">
        <v>281.89</v>
      </c>
      <c r="O647" s="1411">
        <v>17</v>
      </c>
      <c r="P647" s="651"/>
    </row>
    <row r="648" spans="1:16" ht="37.5">
      <c r="A648" s="652">
        <v>644</v>
      </c>
      <c r="B648" s="651" t="s">
        <v>843</v>
      </c>
      <c r="C648" s="651" t="s">
        <v>1493</v>
      </c>
      <c r="D648" s="651">
        <v>1997</v>
      </c>
      <c r="E648" s="651">
        <v>10</v>
      </c>
      <c r="F648" s="651" t="s">
        <v>844</v>
      </c>
      <c r="G648" s="651">
        <v>17</v>
      </c>
      <c r="H648" s="653"/>
      <c r="I648" s="653"/>
      <c r="J648" s="653">
        <v>0</v>
      </c>
      <c r="K648" s="651"/>
      <c r="L648" s="651"/>
      <c r="M648" s="651"/>
      <c r="N648" s="651"/>
      <c r="O648" s="651"/>
      <c r="P648" s="651"/>
    </row>
    <row r="649" spans="1:16" ht="37.5">
      <c r="A649" s="652">
        <v>645</v>
      </c>
      <c r="B649" s="651" t="s">
        <v>843</v>
      </c>
      <c r="C649" s="651" t="s">
        <v>1493</v>
      </c>
      <c r="D649" s="651">
        <v>1999</v>
      </c>
      <c r="E649" s="651">
        <v>10</v>
      </c>
      <c r="F649" s="651" t="s">
        <v>844</v>
      </c>
      <c r="G649" s="651">
        <v>17</v>
      </c>
      <c r="H649" s="653"/>
      <c r="I649" s="653">
        <v>7.55</v>
      </c>
      <c r="J649" s="653">
        <v>0</v>
      </c>
      <c r="K649" s="651"/>
      <c r="L649" s="651"/>
      <c r="M649" s="651"/>
      <c r="N649" s="651"/>
      <c r="O649" s="651"/>
      <c r="P649" s="651"/>
    </row>
    <row r="650" spans="1:16" ht="37.5">
      <c r="A650" s="652">
        <v>646</v>
      </c>
      <c r="B650" s="651" t="s">
        <v>876</v>
      </c>
      <c r="C650" s="651" t="s">
        <v>836</v>
      </c>
      <c r="D650" s="651">
        <v>1981</v>
      </c>
      <c r="E650" s="651">
        <v>10</v>
      </c>
      <c r="F650" s="651" t="s">
        <v>844</v>
      </c>
      <c r="G650" s="651">
        <v>30</v>
      </c>
      <c r="H650" s="653"/>
      <c r="I650" s="653"/>
      <c r="J650" s="653">
        <v>0</v>
      </c>
      <c r="K650" s="651"/>
      <c r="L650" s="651"/>
      <c r="M650" s="651"/>
      <c r="N650" s="651"/>
      <c r="O650" s="651"/>
      <c r="P650" s="651"/>
    </row>
    <row r="651" spans="1:16" ht="37.5">
      <c r="A651" s="652">
        <v>647</v>
      </c>
      <c r="B651" s="651" t="s">
        <v>1496</v>
      </c>
      <c r="C651" s="651" t="s">
        <v>836</v>
      </c>
      <c r="D651" s="651">
        <v>1999</v>
      </c>
      <c r="E651" s="651">
        <v>10</v>
      </c>
      <c r="F651" s="651" t="s">
        <v>844</v>
      </c>
      <c r="G651" s="651">
        <v>28</v>
      </c>
      <c r="H651" s="653"/>
      <c r="I651" s="653"/>
      <c r="J651" s="653">
        <v>0</v>
      </c>
      <c r="K651" s="651"/>
      <c r="L651" s="651"/>
      <c r="M651" s="651"/>
      <c r="N651" s="651"/>
      <c r="O651" s="651"/>
      <c r="P651" s="651"/>
    </row>
    <row r="652" spans="1:16" ht="37.5">
      <c r="A652" s="652">
        <v>648</v>
      </c>
      <c r="B652" s="651" t="s">
        <v>1497</v>
      </c>
      <c r="C652" s="651" t="s">
        <v>900</v>
      </c>
      <c r="D652" s="651">
        <v>1987</v>
      </c>
      <c r="E652" s="651">
        <v>10</v>
      </c>
      <c r="F652" s="651" t="s">
        <v>844</v>
      </c>
      <c r="G652" s="651">
        <v>28</v>
      </c>
      <c r="H652" s="653"/>
      <c r="I652" s="653"/>
      <c r="J652" s="653">
        <v>0</v>
      </c>
      <c r="K652" s="651"/>
      <c r="L652" s="651"/>
      <c r="M652" s="651"/>
      <c r="N652" s="653"/>
      <c r="O652" s="651"/>
      <c r="P652" s="653"/>
    </row>
    <row r="653" spans="1:16" ht="37.5">
      <c r="A653" s="652">
        <v>649</v>
      </c>
      <c r="B653" s="651" t="s">
        <v>1498</v>
      </c>
      <c r="C653" s="651" t="s">
        <v>849</v>
      </c>
      <c r="D653" s="651">
        <v>2000</v>
      </c>
      <c r="E653" s="651">
        <v>10</v>
      </c>
      <c r="F653" s="651" t="s">
        <v>844</v>
      </c>
      <c r="G653" s="651">
        <v>15</v>
      </c>
      <c r="H653" s="653"/>
      <c r="I653" s="653">
        <v>24.99</v>
      </c>
      <c r="J653" s="653">
        <v>0</v>
      </c>
      <c r="K653" s="651"/>
      <c r="L653" s="651"/>
      <c r="M653" s="651"/>
      <c r="N653" s="651"/>
      <c r="O653" s="651"/>
      <c r="P653" s="651"/>
    </row>
    <row r="654" spans="1:16" ht="37.5">
      <c r="A654" s="652">
        <v>650</v>
      </c>
      <c r="B654" s="651" t="s">
        <v>832</v>
      </c>
      <c r="C654" s="651" t="s">
        <v>849</v>
      </c>
      <c r="D654" s="651">
        <v>1983</v>
      </c>
      <c r="E654" s="651">
        <v>10</v>
      </c>
      <c r="F654" s="651" t="s">
        <v>844</v>
      </c>
      <c r="G654" s="651">
        <v>5.5</v>
      </c>
      <c r="H654" s="653"/>
      <c r="I654" s="653"/>
      <c r="J654" s="653">
        <v>0</v>
      </c>
      <c r="K654" s="651"/>
      <c r="L654" s="651"/>
      <c r="M654" s="651"/>
      <c r="N654" s="651"/>
      <c r="O654" s="651"/>
      <c r="P654" s="651"/>
    </row>
    <row r="655" spans="1:16" ht="37.5">
      <c r="A655" s="652">
        <v>651</v>
      </c>
      <c r="B655" s="651" t="s">
        <v>1408</v>
      </c>
      <c r="C655" s="651" t="s">
        <v>849</v>
      </c>
      <c r="D655" s="651">
        <v>1983</v>
      </c>
      <c r="E655" s="651">
        <v>10</v>
      </c>
      <c r="F655" s="651" t="s">
        <v>844</v>
      </c>
      <c r="G655" s="651">
        <v>4.8</v>
      </c>
      <c r="H655" s="653"/>
      <c r="I655" s="653"/>
      <c r="J655" s="653">
        <v>0</v>
      </c>
      <c r="K655" s="651"/>
      <c r="L655" s="651"/>
      <c r="M655" s="651"/>
      <c r="N655" s="651"/>
      <c r="O655" s="651"/>
      <c r="P655" s="651"/>
    </row>
    <row r="656" spans="1:16" ht="37.5">
      <c r="A656" s="652">
        <v>652</v>
      </c>
      <c r="B656" s="651" t="s">
        <v>891</v>
      </c>
      <c r="C656" s="651" t="s">
        <v>849</v>
      </c>
      <c r="D656" s="651">
        <v>1983</v>
      </c>
      <c r="E656" s="651">
        <v>10</v>
      </c>
      <c r="F656" s="651" t="s">
        <v>844</v>
      </c>
      <c r="G656" s="651">
        <v>4.8</v>
      </c>
      <c r="H656" s="653"/>
      <c r="I656" s="653"/>
      <c r="J656" s="653">
        <v>0</v>
      </c>
      <c r="K656" s="651"/>
      <c r="L656" s="651"/>
      <c r="M656" s="651"/>
      <c r="N656" s="651"/>
      <c r="O656" s="651"/>
      <c r="P656" s="651"/>
    </row>
    <row r="657" spans="1:16" ht="37.5">
      <c r="A657" s="652">
        <v>653</v>
      </c>
      <c r="B657" s="651" t="s">
        <v>894</v>
      </c>
      <c r="C657" s="651" t="s">
        <v>893</v>
      </c>
      <c r="D657" s="651">
        <v>1992</v>
      </c>
      <c r="E657" s="651">
        <v>10</v>
      </c>
      <c r="F657" s="651" t="s">
        <v>844</v>
      </c>
      <c r="G657" s="651">
        <v>0</v>
      </c>
      <c r="H657" s="653">
        <v>0</v>
      </c>
      <c r="I657" s="653">
        <v>0</v>
      </c>
      <c r="J657" s="653">
        <v>0</v>
      </c>
      <c r="K657" s="651"/>
      <c r="L657" s="651"/>
      <c r="M657" s="651"/>
      <c r="N657" s="651"/>
      <c r="O657" s="651"/>
      <c r="P657" s="651"/>
    </row>
    <row r="658" spans="1:16" ht="37.5">
      <c r="A658" s="652">
        <v>654</v>
      </c>
      <c r="B658" s="651" t="s">
        <v>894</v>
      </c>
      <c r="C658" s="651" t="s">
        <v>893</v>
      </c>
      <c r="D658" s="651">
        <v>1978</v>
      </c>
      <c r="E658" s="651">
        <v>10</v>
      </c>
      <c r="F658" s="651" t="s">
        <v>844</v>
      </c>
      <c r="G658" s="651">
        <v>0</v>
      </c>
      <c r="H658" s="653">
        <v>0</v>
      </c>
      <c r="I658" s="653">
        <v>0</v>
      </c>
      <c r="J658" s="653">
        <v>0</v>
      </c>
      <c r="K658" s="651"/>
      <c r="L658" s="651"/>
      <c r="M658" s="651"/>
      <c r="N658" s="651"/>
      <c r="O658" s="651"/>
      <c r="P658" s="651"/>
    </row>
    <row r="659" spans="1:16" ht="37.5">
      <c r="A659" s="652">
        <v>655</v>
      </c>
      <c r="B659" s="651" t="s">
        <v>894</v>
      </c>
      <c r="C659" s="651" t="s">
        <v>893</v>
      </c>
      <c r="D659" s="651">
        <v>1986</v>
      </c>
      <c r="E659" s="651">
        <v>10</v>
      </c>
      <c r="F659" s="651" t="s">
        <v>844</v>
      </c>
      <c r="G659" s="651">
        <v>0</v>
      </c>
      <c r="H659" s="653">
        <v>0</v>
      </c>
      <c r="I659" s="653">
        <v>0</v>
      </c>
      <c r="J659" s="653">
        <v>0</v>
      </c>
      <c r="K659" s="651"/>
      <c r="L659" s="651"/>
      <c r="M659" s="651"/>
      <c r="N659" s="651"/>
      <c r="O659" s="651"/>
      <c r="P659" s="651"/>
    </row>
    <row r="660" spans="1:16" ht="37.5">
      <c r="A660" s="652">
        <v>656</v>
      </c>
      <c r="B660" s="651" t="s">
        <v>894</v>
      </c>
      <c r="C660" s="651" t="s">
        <v>893</v>
      </c>
      <c r="D660" s="651">
        <v>1983</v>
      </c>
      <c r="E660" s="651">
        <v>10</v>
      </c>
      <c r="F660" s="651" t="s">
        <v>844</v>
      </c>
      <c r="G660" s="651">
        <v>0</v>
      </c>
      <c r="H660" s="653">
        <v>0</v>
      </c>
      <c r="I660" s="653">
        <v>0</v>
      </c>
      <c r="J660" s="653">
        <v>0</v>
      </c>
      <c r="K660" s="651"/>
      <c r="L660" s="651"/>
      <c r="M660" s="651"/>
      <c r="N660" s="651"/>
      <c r="O660" s="651"/>
      <c r="P660" s="651"/>
    </row>
    <row r="661" spans="1:16" ht="31.5">
      <c r="A661" s="652">
        <v>657</v>
      </c>
      <c r="B661" s="651" t="s">
        <v>1499</v>
      </c>
      <c r="C661" s="651" t="s">
        <v>853</v>
      </c>
      <c r="D661" s="651">
        <v>1999</v>
      </c>
      <c r="E661" s="651">
        <v>10</v>
      </c>
      <c r="F661" s="651" t="s">
        <v>856</v>
      </c>
      <c r="G661" s="651">
        <v>16</v>
      </c>
      <c r="H661" s="653"/>
      <c r="I661" s="653">
        <v>3.71</v>
      </c>
      <c r="J661" s="653">
        <v>0</v>
      </c>
      <c r="K661" s="651"/>
      <c r="L661" s="1411" t="s">
        <v>1344</v>
      </c>
      <c r="M661" s="1411" t="s">
        <v>2411</v>
      </c>
      <c r="N661" s="1411">
        <v>281.89</v>
      </c>
      <c r="O661" s="1411">
        <v>17</v>
      </c>
      <c r="P661" s="653"/>
    </row>
    <row r="662" spans="1:16" ht="18.75">
      <c r="A662" s="652">
        <v>658</v>
      </c>
      <c r="B662" s="651" t="s">
        <v>1144</v>
      </c>
      <c r="C662" s="651" t="s">
        <v>853</v>
      </c>
      <c r="D662" s="651">
        <v>1992</v>
      </c>
      <c r="E662" s="651">
        <v>10</v>
      </c>
      <c r="F662" s="651" t="s">
        <v>856</v>
      </c>
      <c r="G662" s="651">
        <v>12</v>
      </c>
      <c r="H662" s="653"/>
      <c r="I662" s="653">
        <v>0.18</v>
      </c>
      <c r="J662" s="653"/>
      <c r="K662" s="651"/>
      <c r="L662" s="654"/>
      <c r="M662" s="654"/>
      <c r="N662" s="655"/>
      <c r="O662" s="651"/>
      <c r="P662" s="653"/>
    </row>
    <row r="663" spans="1:16" ht="18.75">
      <c r="A663" s="652">
        <v>659</v>
      </c>
      <c r="B663" s="651" t="s">
        <v>1500</v>
      </c>
      <c r="C663" s="651" t="s">
        <v>838</v>
      </c>
      <c r="D663" s="651">
        <v>1997</v>
      </c>
      <c r="E663" s="651">
        <v>10</v>
      </c>
      <c r="F663" s="651" t="s">
        <v>856</v>
      </c>
      <c r="G663" s="651">
        <v>17</v>
      </c>
      <c r="H663" s="653"/>
      <c r="I663" s="653">
        <v>3.66</v>
      </c>
      <c r="J663" s="653"/>
      <c r="K663" s="651"/>
      <c r="L663" s="654"/>
      <c r="M663" s="651"/>
      <c r="N663" s="653"/>
      <c r="O663" s="651"/>
      <c r="P663" s="653"/>
    </row>
    <row r="664" spans="1:16" ht="18.75">
      <c r="A664" s="652">
        <v>660</v>
      </c>
      <c r="B664" s="651" t="s">
        <v>1501</v>
      </c>
      <c r="C664" s="651" t="s">
        <v>1502</v>
      </c>
      <c r="D664" s="651">
        <v>1999</v>
      </c>
      <c r="E664" s="651">
        <v>10</v>
      </c>
      <c r="F664" s="651" t="s">
        <v>856</v>
      </c>
      <c r="G664" s="651">
        <v>17</v>
      </c>
      <c r="H664" s="653"/>
      <c r="I664" s="653">
        <v>0.13</v>
      </c>
      <c r="J664" s="653"/>
      <c r="K664" s="651"/>
      <c r="L664" s="657"/>
      <c r="M664" s="651"/>
      <c r="N664" s="653"/>
      <c r="O664" s="651"/>
      <c r="P664" s="653"/>
    </row>
    <row r="665" spans="1:16" ht="18.75">
      <c r="A665" s="652">
        <v>661</v>
      </c>
      <c r="B665" s="651" t="s">
        <v>1501</v>
      </c>
      <c r="C665" s="651" t="s">
        <v>1502</v>
      </c>
      <c r="D665" s="651">
        <v>1999</v>
      </c>
      <c r="E665" s="651">
        <v>10</v>
      </c>
      <c r="F665" s="651" t="s">
        <v>856</v>
      </c>
      <c r="G665" s="651">
        <v>17</v>
      </c>
      <c r="H665" s="653"/>
      <c r="I665" s="653">
        <v>0.24</v>
      </c>
      <c r="J665" s="653"/>
      <c r="K665" s="651"/>
      <c r="L665" s="654"/>
      <c r="M665" s="654"/>
      <c r="N665" s="655"/>
      <c r="O665" s="651"/>
      <c r="P665" s="653"/>
    </row>
    <row r="666" spans="1:16" ht="18.75">
      <c r="A666" s="652">
        <v>662</v>
      </c>
      <c r="B666" s="651" t="s">
        <v>1501</v>
      </c>
      <c r="C666" s="651" t="s">
        <v>1502</v>
      </c>
      <c r="D666" s="651">
        <v>2003</v>
      </c>
      <c r="E666" s="651">
        <v>10</v>
      </c>
      <c r="F666" s="651" t="s">
        <v>856</v>
      </c>
      <c r="G666" s="651">
        <v>17</v>
      </c>
      <c r="H666" s="653"/>
      <c r="I666" s="653">
        <v>0.36</v>
      </c>
      <c r="J666" s="653">
        <v>1.38</v>
      </c>
      <c r="K666" s="651"/>
      <c r="L666" s="654"/>
      <c r="M666" s="651"/>
      <c r="N666" s="653"/>
      <c r="O666" s="651"/>
      <c r="P666" s="651"/>
    </row>
    <row r="667" spans="1:16" ht="18.75">
      <c r="A667" s="652">
        <v>663</v>
      </c>
      <c r="B667" s="651" t="s">
        <v>1501</v>
      </c>
      <c r="C667" s="651" t="s">
        <v>1502</v>
      </c>
      <c r="D667" s="651">
        <v>2007</v>
      </c>
      <c r="E667" s="651">
        <v>10</v>
      </c>
      <c r="F667" s="651" t="s">
        <v>856</v>
      </c>
      <c r="G667" s="687">
        <v>14.8</v>
      </c>
      <c r="H667" s="653"/>
      <c r="I667" s="653">
        <v>0.48</v>
      </c>
      <c r="J667" s="653">
        <v>4.48</v>
      </c>
      <c r="K667" s="651"/>
      <c r="L667" s="654"/>
      <c r="M667" s="651"/>
      <c r="N667" s="655"/>
      <c r="O667" s="651"/>
      <c r="P667" s="651"/>
    </row>
    <row r="668" spans="1:16" ht="18.75">
      <c r="A668" s="652">
        <v>664</v>
      </c>
      <c r="B668" s="651" t="s">
        <v>1499</v>
      </c>
      <c r="C668" s="651" t="s">
        <v>853</v>
      </c>
      <c r="D668" s="651">
        <v>1999</v>
      </c>
      <c r="E668" s="651">
        <v>10</v>
      </c>
      <c r="F668" s="651" t="s">
        <v>856</v>
      </c>
      <c r="G668" s="651">
        <v>16</v>
      </c>
      <c r="H668" s="653"/>
      <c r="I668" s="653">
        <v>0.58</v>
      </c>
      <c r="J668" s="653"/>
      <c r="K668" s="651"/>
      <c r="L668" s="654"/>
      <c r="M668" s="651"/>
      <c r="N668" s="653"/>
      <c r="O668" s="651"/>
      <c r="P668" s="651"/>
    </row>
    <row r="669" spans="1:16" ht="18.75">
      <c r="A669" s="652">
        <v>665</v>
      </c>
      <c r="B669" s="651" t="s">
        <v>1503</v>
      </c>
      <c r="C669" s="651" t="s">
        <v>1504</v>
      </c>
      <c r="D669" s="651">
        <v>1988</v>
      </c>
      <c r="E669" s="651">
        <v>10</v>
      </c>
      <c r="F669" s="651" t="s">
        <v>856</v>
      </c>
      <c r="G669" s="651">
        <v>27</v>
      </c>
      <c r="H669" s="653"/>
      <c r="I669" s="653">
        <v>0.72</v>
      </c>
      <c r="J669" s="653"/>
      <c r="K669" s="651"/>
      <c r="L669" s="651"/>
      <c r="M669" s="651"/>
      <c r="N669" s="651"/>
      <c r="O669" s="651"/>
      <c r="P669" s="651"/>
    </row>
    <row r="670" spans="1:16" ht="18.75">
      <c r="A670" s="652">
        <v>666</v>
      </c>
      <c r="B670" s="651" t="s">
        <v>1503</v>
      </c>
      <c r="C670" s="651" t="s">
        <v>1505</v>
      </c>
      <c r="D670" s="651">
        <v>1987</v>
      </c>
      <c r="E670" s="651">
        <v>10</v>
      </c>
      <c r="F670" s="651" t="s">
        <v>856</v>
      </c>
      <c r="G670" s="651">
        <v>30</v>
      </c>
      <c r="H670" s="653"/>
      <c r="I670" s="653">
        <v>0.17</v>
      </c>
      <c r="J670" s="653"/>
      <c r="K670" s="651"/>
      <c r="L670" s="651"/>
      <c r="M670" s="651"/>
      <c r="N670" s="651"/>
      <c r="O670" s="651"/>
      <c r="P670" s="651"/>
    </row>
    <row r="671" spans="1:16" ht="18.75">
      <c r="A671" s="652">
        <v>667</v>
      </c>
      <c r="B671" s="651" t="s">
        <v>845</v>
      </c>
      <c r="C671" s="651" t="s">
        <v>1505</v>
      </c>
      <c r="D671" s="651">
        <v>1989</v>
      </c>
      <c r="E671" s="651">
        <v>10</v>
      </c>
      <c r="F671" s="651" t="s">
        <v>856</v>
      </c>
      <c r="G671" s="651">
        <v>25</v>
      </c>
      <c r="H671" s="653"/>
      <c r="I671" s="653">
        <v>0.39</v>
      </c>
      <c r="J671" s="653"/>
      <c r="K671" s="651"/>
      <c r="L671" s="651"/>
      <c r="M671" s="651"/>
      <c r="N671" s="651"/>
      <c r="O671" s="651"/>
      <c r="P671" s="651"/>
    </row>
    <row r="672" spans="1:16" ht="18.75">
      <c r="A672" s="652">
        <v>668</v>
      </c>
      <c r="B672" s="651" t="s">
        <v>1503</v>
      </c>
      <c r="C672" s="651" t="s">
        <v>1506</v>
      </c>
      <c r="D672" s="651">
        <v>1991</v>
      </c>
      <c r="E672" s="651">
        <v>10</v>
      </c>
      <c r="F672" s="651" t="s">
        <v>856</v>
      </c>
      <c r="G672" s="651">
        <v>32</v>
      </c>
      <c r="H672" s="653"/>
      <c r="I672" s="653">
        <v>0.74</v>
      </c>
      <c r="J672" s="653"/>
      <c r="K672" s="651"/>
      <c r="L672" s="654"/>
      <c r="M672" s="651"/>
      <c r="N672" s="653"/>
      <c r="O672" s="651"/>
      <c r="P672" s="651"/>
    </row>
    <row r="673" spans="1:16" ht="18.75">
      <c r="A673" s="652">
        <v>669</v>
      </c>
      <c r="B673" s="651" t="s">
        <v>1157</v>
      </c>
      <c r="C673" s="651" t="s">
        <v>1507</v>
      </c>
      <c r="D673" s="651">
        <v>2008</v>
      </c>
      <c r="E673" s="651">
        <v>10</v>
      </c>
      <c r="F673" s="651" t="s">
        <v>856</v>
      </c>
      <c r="G673" s="651">
        <v>22</v>
      </c>
      <c r="H673" s="653"/>
      <c r="I673" s="653">
        <v>2.3</v>
      </c>
      <c r="J673" s="653"/>
      <c r="K673" s="651"/>
      <c r="L673" s="654"/>
      <c r="M673" s="651"/>
      <c r="N673" s="653"/>
      <c r="O673" s="651"/>
      <c r="P673" s="651"/>
    </row>
    <row r="674" spans="1:16" ht="18.75">
      <c r="A674" s="652">
        <v>670</v>
      </c>
      <c r="B674" s="651" t="s">
        <v>1508</v>
      </c>
      <c r="C674" s="651" t="s">
        <v>836</v>
      </c>
      <c r="D674" s="651">
        <v>1991</v>
      </c>
      <c r="E674" s="651">
        <v>10</v>
      </c>
      <c r="F674" s="651" t="s">
        <v>856</v>
      </c>
      <c r="G674" s="651">
        <v>30</v>
      </c>
      <c r="H674" s="653"/>
      <c r="I674" s="653">
        <v>1.71</v>
      </c>
      <c r="J674" s="653"/>
      <c r="K674" s="651"/>
      <c r="L674" s="654"/>
      <c r="M674" s="651"/>
      <c r="N674" s="653"/>
      <c r="O674" s="651"/>
      <c r="P674" s="651"/>
    </row>
    <row r="675" spans="1:16" ht="18.75">
      <c r="A675" s="652">
        <v>671</v>
      </c>
      <c r="B675" s="651" t="s">
        <v>1508</v>
      </c>
      <c r="C675" s="651" t="s">
        <v>1509</v>
      </c>
      <c r="D675" s="651">
        <v>1986</v>
      </c>
      <c r="E675" s="651">
        <v>10</v>
      </c>
      <c r="F675" s="651" t="s">
        <v>856</v>
      </c>
      <c r="G675" s="651">
        <v>31</v>
      </c>
      <c r="H675" s="653"/>
      <c r="I675" s="653">
        <v>0.47</v>
      </c>
      <c r="J675" s="653"/>
      <c r="K675" s="651"/>
      <c r="L675" s="654"/>
      <c r="M675" s="651"/>
      <c r="N675" s="653"/>
      <c r="O675" s="651"/>
      <c r="P675" s="651"/>
    </row>
    <row r="676" spans="1:16" ht="18.75">
      <c r="A676" s="652">
        <v>672</v>
      </c>
      <c r="B676" s="651" t="s">
        <v>1510</v>
      </c>
      <c r="C676" s="651" t="s">
        <v>1511</v>
      </c>
      <c r="D676" s="651">
        <v>1991</v>
      </c>
      <c r="E676" s="651">
        <v>10</v>
      </c>
      <c r="F676" s="651" t="s">
        <v>856</v>
      </c>
      <c r="G676" s="651">
        <v>30</v>
      </c>
      <c r="H676" s="653"/>
      <c r="I676" s="653">
        <v>0.72</v>
      </c>
      <c r="J676" s="653"/>
      <c r="K676" s="651"/>
      <c r="L676" s="654"/>
      <c r="M676" s="651"/>
      <c r="N676" s="653"/>
      <c r="O676" s="651"/>
      <c r="P676" s="651"/>
    </row>
    <row r="677" spans="1:16" ht="18.75">
      <c r="A677" s="652">
        <v>673</v>
      </c>
      <c r="B677" s="651" t="s">
        <v>1512</v>
      </c>
      <c r="C677" s="651" t="s">
        <v>853</v>
      </c>
      <c r="D677" s="651">
        <v>2002</v>
      </c>
      <c r="E677" s="651">
        <v>10</v>
      </c>
      <c r="F677" s="651" t="s">
        <v>856</v>
      </c>
      <c r="G677" s="687">
        <v>9.4</v>
      </c>
      <c r="H677" s="653"/>
      <c r="I677" s="653">
        <v>2.37</v>
      </c>
      <c r="J677" s="653"/>
      <c r="K677" s="651"/>
      <c r="L677" s="654"/>
      <c r="M677" s="651"/>
      <c r="N677" s="653"/>
      <c r="O677" s="651"/>
      <c r="P677" s="651"/>
    </row>
    <row r="678" spans="1:16" ht="18.75">
      <c r="A678" s="652">
        <v>674</v>
      </c>
      <c r="B678" s="651" t="s">
        <v>845</v>
      </c>
      <c r="C678" s="651" t="s">
        <v>836</v>
      </c>
      <c r="D678" s="651">
        <v>1975</v>
      </c>
      <c r="E678" s="651">
        <v>10</v>
      </c>
      <c r="F678" s="651" t="s">
        <v>856</v>
      </c>
      <c r="G678" s="651">
        <v>20</v>
      </c>
      <c r="H678" s="653"/>
      <c r="I678" s="653">
        <v>1.85</v>
      </c>
      <c r="J678" s="653"/>
      <c r="K678" s="651"/>
      <c r="L678" s="654"/>
      <c r="M678" s="651"/>
      <c r="N678" s="653"/>
      <c r="O678" s="651"/>
      <c r="P678" s="651"/>
    </row>
    <row r="679" spans="1:16" ht="18.75">
      <c r="A679" s="652">
        <v>675</v>
      </c>
      <c r="B679" s="651" t="s">
        <v>1513</v>
      </c>
      <c r="C679" s="651" t="s">
        <v>1502</v>
      </c>
      <c r="D679" s="651">
        <v>2011</v>
      </c>
      <c r="E679" s="651">
        <v>10</v>
      </c>
      <c r="F679" s="651" t="s">
        <v>856</v>
      </c>
      <c r="G679" s="687">
        <v>10.5</v>
      </c>
      <c r="H679" s="653"/>
      <c r="I679" s="653">
        <v>0.81</v>
      </c>
      <c r="J679" s="653">
        <v>137.68</v>
      </c>
      <c r="K679" s="651"/>
      <c r="L679" s="654"/>
      <c r="M679" s="651"/>
      <c r="N679" s="653"/>
      <c r="O679" s="651"/>
      <c r="P679" s="651"/>
    </row>
    <row r="680" spans="1:16" ht="18.75">
      <c r="A680" s="652">
        <v>676</v>
      </c>
      <c r="B680" s="651" t="s">
        <v>1514</v>
      </c>
      <c r="C680" s="651" t="s">
        <v>1515</v>
      </c>
      <c r="D680" s="651">
        <v>2004</v>
      </c>
      <c r="E680" s="651">
        <v>10</v>
      </c>
      <c r="F680" s="651" t="s">
        <v>856</v>
      </c>
      <c r="G680" s="651">
        <v>18</v>
      </c>
      <c r="H680" s="653"/>
      <c r="I680" s="653">
        <v>2.91</v>
      </c>
      <c r="J680" s="653">
        <v>23.42</v>
      </c>
      <c r="K680" s="651"/>
      <c r="L680" s="654"/>
      <c r="M680" s="651"/>
      <c r="N680" s="653"/>
      <c r="O680" s="651"/>
      <c r="P680" s="651"/>
    </row>
    <row r="681" spans="1:16" ht="18.75">
      <c r="A681" s="652">
        <v>677</v>
      </c>
      <c r="B681" s="651" t="s">
        <v>1516</v>
      </c>
      <c r="C681" s="651" t="s">
        <v>849</v>
      </c>
      <c r="D681" s="651">
        <v>1994</v>
      </c>
      <c r="E681" s="651">
        <v>10</v>
      </c>
      <c r="F681" s="651" t="s">
        <v>856</v>
      </c>
      <c r="G681" s="651">
        <v>8</v>
      </c>
      <c r="H681" s="653"/>
      <c r="I681" s="653" t="s">
        <v>467</v>
      </c>
      <c r="J681" s="653"/>
      <c r="K681" s="651"/>
      <c r="L681" s="654"/>
      <c r="M681" s="651"/>
      <c r="N681" s="653"/>
      <c r="O681" s="651"/>
      <c r="P681" s="651"/>
    </row>
    <row r="682" spans="1:16" ht="18.75">
      <c r="A682" s="652">
        <v>678</v>
      </c>
      <c r="B682" s="651" t="s">
        <v>832</v>
      </c>
      <c r="C682" s="651" t="s">
        <v>849</v>
      </c>
      <c r="D682" s="651">
        <v>1993</v>
      </c>
      <c r="E682" s="651">
        <v>10</v>
      </c>
      <c r="F682" s="651" t="s">
        <v>856</v>
      </c>
      <c r="G682" s="651">
        <v>9</v>
      </c>
      <c r="H682" s="653"/>
      <c r="I682" s="653"/>
      <c r="J682" s="653"/>
      <c r="K682" s="651"/>
      <c r="L682" s="654"/>
      <c r="M682" s="651"/>
      <c r="N682" s="653"/>
      <c r="O682" s="651"/>
      <c r="P682" s="653"/>
    </row>
    <row r="683" spans="1:16" ht="18.75">
      <c r="A683" s="652">
        <v>679</v>
      </c>
      <c r="B683" s="651" t="s">
        <v>1514</v>
      </c>
      <c r="C683" s="651" t="s">
        <v>912</v>
      </c>
      <c r="D683" s="651">
        <v>1986</v>
      </c>
      <c r="E683" s="651">
        <v>10</v>
      </c>
      <c r="F683" s="651" t="s">
        <v>856</v>
      </c>
      <c r="G683" s="651">
        <v>15</v>
      </c>
      <c r="H683" s="653"/>
      <c r="I683" s="653"/>
      <c r="J683" s="653"/>
      <c r="K683" s="651"/>
      <c r="L683" s="654"/>
      <c r="M683" s="651"/>
      <c r="N683" s="653"/>
      <c r="O683" s="651"/>
      <c r="P683" s="651"/>
    </row>
    <row r="684" spans="1:16" ht="18.75">
      <c r="A684" s="652">
        <v>680</v>
      </c>
      <c r="B684" s="651" t="s">
        <v>1517</v>
      </c>
      <c r="C684" s="651" t="s">
        <v>874</v>
      </c>
      <c r="D684" s="651">
        <v>1990</v>
      </c>
      <c r="E684" s="651">
        <v>10</v>
      </c>
      <c r="F684" s="651" t="s">
        <v>856</v>
      </c>
      <c r="G684" s="651">
        <v>27</v>
      </c>
      <c r="H684" s="653">
        <v>0</v>
      </c>
      <c r="I684" s="653">
        <v>0</v>
      </c>
      <c r="J684" s="653">
        <v>0</v>
      </c>
      <c r="K684" s="651"/>
      <c r="L684" s="654"/>
      <c r="M684" s="651"/>
      <c r="N684" s="653"/>
      <c r="O684" s="651"/>
      <c r="P684" s="651"/>
    </row>
    <row r="685" spans="1:16" ht="18.75">
      <c r="A685" s="652">
        <v>681</v>
      </c>
      <c r="B685" s="651" t="s">
        <v>1510</v>
      </c>
      <c r="C685" s="651" t="s">
        <v>838</v>
      </c>
      <c r="D685" s="651">
        <v>1991</v>
      </c>
      <c r="E685" s="651">
        <v>10</v>
      </c>
      <c r="F685" s="651" t="s">
        <v>856</v>
      </c>
      <c r="G685" s="651">
        <v>30</v>
      </c>
      <c r="H685" s="653"/>
      <c r="I685" s="653"/>
      <c r="J685" s="653"/>
      <c r="K685" s="651"/>
      <c r="L685" s="654"/>
      <c r="M685" s="651"/>
      <c r="N685" s="653"/>
      <c r="O685" s="651"/>
      <c r="P685" s="651"/>
    </row>
    <row r="686" spans="1:16" ht="18.75">
      <c r="A686" s="652">
        <v>682</v>
      </c>
      <c r="B686" s="651" t="s">
        <v>894</v>
      </c>
      <c r="C686" s="651" t="s">
        <v>893</v>
      </c>
      <c r="D686" s="651">
        <v>1993</v>
      </c>
      <c r="E686" s="651">
        <v>10</v>
      </c>
      <c r="F686" s="651" t="s">
        <v>856</v>
      </c>
      <c r="G686" s="651">
        <v>0</v>
      </c>
      <c r="H686" s="653">
        <v>0</v>
      </c>
      <c r="I686" s="653">
        <v>0</v>
      </c>
      <c r="J686" s="653">
        <v>0</v>
      </c>
      <c r="K686" s="651"/>
      <c r="L686" s="654"/>
      <c r="M686" s="651"/>
      <c r="N686" s="653"/>
      <c r="O686" s="651"/>
      <c r="P686" s="651"/>
    </row>
    <row r="687" spans="1:16" ht="18.75">
      <c r="A687" s="652">
        <v>683</v>
      </c>
      <c r="B687" s="651" t="s">
        <v>894</v>
      </c>
      <c r="C687" s="651" t="s">
        <v>893</v>
      </c>
      <c r="D687" s="651">
        <v>1991</v>
      </c>
      <c r="E687" s="651">
        <v>10</v>
      </c>
      <c r="F687" s="651" t="s">
        <v>856</v>
      </c>
      <c r="G687" s="651">
        <v>0</v>
      </c>
      <c r="H687" s="653">
        <v>0</v>
      </c>
      <c r="I687" s="653">
        <v>0</v>
      </c>
      <c r="J687" s="653">
        <v>0</v>
      </c>
      <c r="K687" s="651"/>
      <c r="L687" s="654"/>
      <c r="M687" s="651"/>
      <c r="N687" s="653"/>
      <c r="O687" s="651"/>
      <c r="P687" s="651"/>
    </row>
    <row r="688" spans="1:16" ht="18.75">
      <c r="A688" s="652">
        <v>684</v>
      </c>
      <c r="B688" s="651" t="s">
        <v>894</v>
      </c>
      <c r="C688" s="651" t="s">
        <v>893</v>
      </c>
      <c r="D688" s="651">
        <v>1989</v>
      </c>
      <c r="E688" s="651">
        <v>10</v>
      </c>
      <c r="F688" s="651" t="s">
        <v>856</v>
      </c>
      <c r="G688" s="651">
        <v>0</v>
      </c>
      <c r="H688" s="653">
        <v>0</v>
      </c>
      <c r="I688" s="653">
        <v>0</v>
      </c>
      <c r="J688" s="653">
        <v>0</v>
      </c>
      <c r="K688" s="651"/>
      <c r="L688" s="654"/>
      <c r="M688" s="651"/>
      <c r="N688" s="653"/>
      <c r="O688" s="651"/>
      <c r="P688" s="651"/>
    </row>
    <row r="689" spans="1:16" ht="18.75">
      <c r="A689" s="652">
        <v>685</v>
      </c>
      <c r="B689" s="651" t="s">
        <v>1518</v>
      </c>
      <c r="C689" s="651" t="s">
        <v>893</v>
      </c>
      <c r="D689" s="651">
        <v>1978</v>
      </c>
      <c r="E689" s="651">
        <v>10</v>
      </c>
      <c r="F689" s="651" t="s">
        <v>856</v>
      </c>
      <c r="G689" s="651">
        <v>0</v>
      </c>
      <c r="H689" s="653">
        <v>0</v>
      </c>
      <c r="I689" s="653">
        <v>0</v>
      </c>
      <c r="J689" s="653">
        <v>0</v>
      </c>
      <c r="K689" s="651"/>
      <c r="L689" s="654"/>
      <c r="M689" s="651"/>
      <c r="N689" s="653"/>
      <c r="O689" s="651"/>
      <c r="P689" s="651"/>
    </row>
    <row r="690" spans="1:16" ht="18.75">
      <c r="A690" s="652">
        <v>686</v>
      </c>
      <c r="B690" s="651" t="s">
        <v>1518</v>
      </c>
      <c r="C690" s="651" t="s">
        <v>893</v>
      </c>
      <c r="D690" s="651">
        <v>1980</v>
      </c>
      <c r="E690" s="651">
        <v>10</v>
      </c>
      <c r="F690" s="651" t="s">
        <v>856</v>
      </c>
      <c r="G690" s="651">
        <v>0</v>
      </c>
      <c r="H690" s="653">
        <v>0</v>
      </c>
      <c r="I690" s="653">
        <v>0</v>
      </c>
      <c r="J690" s="653">
        <v>0</v>
      </c>
      <c r="K690" s="651"/>
      <c r="L690" s="654"/>
      <c r="M690" s="651"/>
      <c r="N690" s="653"/>
      <c r="O690" s="651"/>
      <c r="P690" s="651"/>
    </row>
    <row r="691" spans="1:16" ht="37.5">
      <c r="A691" s="652">
        <v>687</v>
      </c>
      <c r="B691" s="651" t="s">
        <v>1519</v>
      </c>
      <c r="C691" s="651" t="s">
        <v>1323</v>
      </c>
      <c r="D691" s="651">
        <v>2004</v>
      </c>
      <c r="E691" s="651">
        <v>10</v>
      </c>
      <c r="F691" s="651" t="s">
        <v>1520</v>
      </c>
      <c r="G691" s="651">
        <v>31.7</v>
      </c>
      <c r="H691" s="653">
        <v>0.45</v>
      </c>
      <c r="I691" s="653">
        <v>5.4</v>
      </c>
      <c r="J691" s="653"/>
      <c r="K691" s="651"/>
      <c r="L691" s="651"/>
      <c r="M691" s="651"/>
      <c r="N691" s="651"/>
      <c r="O691" s="651"/>
      <c r="P691" s="651"/>
    </row>
    <row r="692" spans="1:16" ht="37.5">
      <c r="A692" s="652">
        <v>688</v>
      </c>
      <c r="B692" s="651" t="s">
        <v>1521</v>
      </c>
      <c r="C692" s="651" t="s">
        <v>1522</v>
      </c>
      <c r="D692" s="651">
        <v>2008</v>
      </c>
      <c r="E692" s="651">
        <v>10</v>
      </c>
      <c r="F692" s="651" t="s">
        <v>1520</v>
      </c>
      <c r="G692" s="651">
        <v>18.4</v>
      </c>
      <c r="H692" s="653">
        <v>0.63</v>
      </c>
      <c r="I692" s="653">
        <v>7.58</v>
      </c>
      <c r="J692" s="653">
        <v>44.47</v>
      </c>
      <c r="K692" s="651"/>
      <c r="L692" s="651"/>
      <c r="M692" s="651"/>
      <c r="N692" s="651"/>
      <c r="O692" s="651"/>
      <c r="P692" s="651"/>
    </row>
    <row r="693" spans="1:16" ht="37.5">
      <c r="A693" s="652">
        <v>689</v>
      </c>
      <c r="B693" s="651" t="s">
        <v>1523</v>
      </c>
      <c r="C693" s="651" t="s">
        <v>853</v>
      </c>
      <c r="D693" s="651">
        <v>2003</v>
      </c>
      <c r="E693" s="651">
        <v>10</v>
      </c>
      <c r="F693" s="651" t="s">
        <v>1520</v>
      </c>
      <c r="G693" s="651">
        <v>12.2</v>
      </c>
      <c r="H693" s="653">
        <v>1.96</v>
      </c>
      <c r="I693" s="653">
        <v>23.63</v>
      </c>
      <c r="J693" s="653"/>
      <c r="K693" s="651"/>
      <c r="L693" s="654"/>
      <c r="M693" s="651"/>
      <c r="N693" s="653"/>
      <c r="O693" s="651"/>
      <c r="P693" s="651"/>
    </row>
    <row r="694" spans="1:16" ht="37.5">
      <c r="A694" s="652">
        <v>690</v>
      </c>
      <c r="B694" s="651" t="s">
        <v>1524</v>
      </c>
      <c r="C694" s="651" t="s">
        <v>853</v>
      </c>
      <c r="D694" s="651">
        <v>1997</v>
      </c>
      <c r="E694" s="651">
        <v>10</v>
      </c>
      <c r="F694" s="651" t="s">
        <v>1520</v>
      </c>
      <c r="G694" s="651">
        <v>22.2</v>
      </c>
      <c r="H694" s="653">
        <v>4.07</v>
      </c>
      <c r="I694" s="653">
        <v>48.09</v>
      </c>
      <c r="J694" s="653"/>
      <c r="K694" s="651"/>
      <c r="L694" s="654"/>
      <c r="M694" s="651"/>
      <c r="N694" s="653"/>
      <c r="O694" s="651"/>
      <c r="P694" s="651"/>
    </row>
    <row r="695" spans="1:16" ht="37.5">
      <c r="A695" s="652">
        <v>691</v>
      </c>
      <c r="B695" s="651" t="s">
        <v>1524</v>
      </c>
      <c r="C695" s="651" t="s">
        <v>853</v>
      </c>
      <c r="D695" s="651">
        <v>2007</v>
      </c>
      <c r="E695" s="651">
        <v>10</v>
      </c>
      <c r="F695" s="651" t="s">
        <v>1520</v>
      </c>
      <c r="G695" s="651">
        <v>27.5</v>
      </c>
      <c r="H695" s="653">
        <v>2.74</v>
      </c>
      <c r="I695" s="653">
        <v>32.91</v>
      </c>
      <c r="J695" s="653">
        <v>177.8</v>
      </c>
      <c r="K695" s="651"/>
      <c r="L695" s="654"/>
      <c r="M695" s="651"/>
      <c r="N695" s="653"/>
      <c r="O695" s="651"/>
      <c r="P695" s="651"/>
    </row>
    <row r="696" spans="1:16" ht="18.75">
      <c r="A696" s="652">
        <v>692</v>
      </c>
      <c r="B696" s="651" t="s">
        <v>1525</v>
      </c>
      <c r="C696" s="651" t="s">
        <v>853</v>
      </c>
      <c r="D696" s="651">
        <v>1998</v>
      </c>
      <c r="E696" s="651">
        <v>10</v>
      </c>
      <c r="F696" s="651" t="s">
        <v>1520</v>
      </c>
      <c r="G696" s="651">
        <v>10.8</v>
      </c>
      <c r="H696" s="653">
        <v>0.89</v>
      </c>
      <c r="I696" s="653">
        <v>10.73</v>
      </c>
      <c r="J696" s="653"/>
      <c r="K696" s="651"/>
      <c r="L696" s="654"/>
      <c r="M696" s="651"/>
      <c r="N696" s="653"/>
      <c r="O696" s="651"/>
      <c r="P696" s="651"/>
    </row>
    <row r="697" spans="1:16" ht="37.5">
      <c r="A697" s="652">
        <v>693</v>
      </c>
      <c r="B697" s="651" t="s">
        <v>1658</v>
      </c>
      <c r="C697" s="651" t="s">
        <v>853</v>
      </c>
      <c r="D697" s="651">
        <v>2009</v>
      </c>
      <c r="E697" s="651">
        <v>10</v>
      </c>
      <c r="F697" s="651" t="s">
        <v>1520</v>
      </c>
      <c r="G697" s="651">
        <v>13.8</v>
      </c>
      <c r="H697" s="653">
        <v>1.03</v>
      </c>
      <c r="I697" s="653">
        <v>12.38</v>
      </c>
      <c r="J697" s="653">
        <v>90.88</v>
      </c>
      <c r="K697" s="651"/>
      <c r="L697" s="654"/>
      <c r="M697" s="651"/>
      <c r="N697" s="653"/>
      <c r="O697" s="651"/>
      <c r="P697" s="651"/>
    </row>
    <row r="698" spans="1:16" ht="37.5">
      <c r="A698" s="652">
        <v>694</v>
      </c>
      <c r="B698" s="651" t="s">
        <v>1659</v>
      </c>
      <c r="C698" s="651" t="s">
        <v>853</v>
      </c>
      <c r="D698" s="651">
        <v>2004</v>
      </c>
      <c r="E698" s="651">
        <v>10</v>
      </c>
      <c r="F698" s="651" t="s">
        <v>1520</v>
      </c>
      <c r="G698" s="687">
        <v>11.5</v>
      </c>
      <c r="H698" s="653">
        <v>1.03</v>
      </c>
      <c r="I698" s="653">
        <v>12.43</v>
      </c>
      <c r="J698" s="653"/>
      <c r="K698" s="651"/>
      <c r="L698" s="654"/>
      <c r="M698" s="651"/>
      <c r="N698" s="653"/>
      <c r="O698" s="651"/>
      <c r="P698" s="651"/>
    </row>
    <row r="699" spans="1:16" ht="37.5">
      <c r="A699" s="652">
        <v>695</v>
      </c>
      <c r="B699" s="651" t="s">
        <v>1526</v>
      </c>
      <c r="C699" s="651" t="s">
        <v>853</v>
      </c>
      <c r="D699" s="651">
        <v>2007</v>
      </c>
      <c r="E699" s="651">
        <v>10</v>
      </c>
      <c r="F699" s="651" t="s">
        <v>1520</v>
      </c>
      <c r="G699" s="651">
        <v>15.5</v>
      </c>
      <c r="H699" s="653">
        <v>1.75</v>
      </c>
      <c r="I699" s="653">
        <v>21.09</v>
      </c>
      <c r="J699" s="653">
        <v>29.33</v>
      </c>
      <c r="K699" s="651"/>
      <c r="L699" s="654"/>
      <c r="M699" s="651"/>
      <c r="N699" s="653"/>
      <c r="O699" s="651"/>
      <c r="P699" s="651"/>
    </row>
    <row r="700" spans="1:16" ht="37.5">
      <c r="A700" s="652">
        <v>696</v>
      </c>
      <c r="B700" s="651" t="s">
        <v>1526</v>
      </c>
      <c r="C700" s="651" t="s">
        <v>853</v>
      </c>
      <c r="D700" s="651">
        <v>2009</v>
      </c>
      <c r="E700" s="651">
        <v>10</v>
      </c>
      <c r="F700" s="651" t="s">
        <v>1520</v>
      </c>
      <c r="G700" s="687">
        <v>15.5</v>
      </c>
      <c r="H700" s="653">
        <v>0</v>
      </c>
      <c r="I700" s="653">
        <v>0</v>
      </c>
      <c r="J700" s="653">
        <v>86.41</v>
      </c>
      <c r="K700" s="651"/>
      <c r="L700" s="654"/>
      <c r="M700" s="651"/>
      <c r="N700" s="653"/>
      <c r="O700" s="651"/>
      <c r="P700" s="651"/>
    </row>
    <row r="701" spans="1:16" ht="37.5">
      <c r="A701" s="652">
        <v>697</v>
      </c>
      <c r="B701" s="651" t="s">
        <v>1527</v>
      </c>
      <c r="C701" s="651" t="s">
        <v>853</v>
      </c>
      <c r="D701" s="651">
        <v>2007</v>
      </c>
      <c r="E701" s="651">
        <v>10</v>
      </c>
      <c r="F701" s="651" t="s">
        <v>1520</v>
      </c>
      <c r="G701" s="651">
        <v>23.5</v>
      </c>
      <c r="H701" s="653">
        <v>2.74</v>
      </c>
      <c r="I701" s="653">
        <v>32.91</v>
      </c>
      <c r="J701" s="653">
        <v>95.94</v>
      </c>
      <c r="K701" s="651"/>
      <c r="L701" s="654"/>
      <c r="M701" s="651"/>
      <c r="N701" s="653"/>
      <c r="O701" s="651"/>
      <c r="P701" s="651"/>
    </row>
    <row r="702" spans="1:16" ht="37.5">
      <c r="A702" s="652">
        <v>698</v>
      </c>
      <c r="B702" s="651" t="s">
        <v>1528</v>
      </c>
      <c r="C702" s="651" t="s">
        <v>853</v>
      </c>
      <c r="D702" s="651">
        <v>2008</v>
      </c>
      <c r="E702" s="651">
        <v>10</v>
      </c>
      <c r="F702" s="651" t="s">
        <v>1520</v>
      </c>
      <c r="G702" s="651">
        <v>11</v>
      </c>
      <c r="H702" s="653" t="s">
        <v>468</v>
      </c>
      <c r="I702" s="653" t="s">
        <v>469</v>
      </c>
      <c r="J702" s="653">
        <v>44.07</v>
      </c>
      <c r="K702" s="651"/>
      <c r="L702" s="654"/>
      <c r="M702" s="651"/>
      <c r="N702" s="653"/>
      <c r="O702" s="651"/>
      <c r="P702" s="651"/>
    </row>
    <row r="703" spans="1:16" ht="18.75">
      <c r="A703" s="652">
        <v>699</v>
      </c>
      <c r="B703" s="651" t="s">
        <v>1529</v>
      </c>
      <c r="C703" s="651" t="s">
        <v>853</v>
      </c>
      <c r="D703" s="651">
        <v>2005</v>
      </c>
      <c r="E703" s="651">
        <v>10</v>
      </c>
      <c r="F703" s="651" t="s">
        <v>1520</v>
      </c>
      <c r="G703" s="651">
        <v>13.7</v>
      </c>
      <c r="H703" s="653">
        <v>1.29</v>
      </c>
      <c r="I703" s="653">
        <v>15.48</v>
      </c>
      <c r="J703" s="653">
        <v>54.46</v>
      </c>
      <c r="K703" s="651"/>
      <c r="L703" s="654"/>
      <c r="M703" s="651"/>
      <c r="N703" s="653"/>
      <c r="O703" s="651"/>
      <c r="P703" s="651"/>
    </row>
    <row r="704" spans="1:16" ht="18.75">
      <c r="A704" s="652">
        <v>700</v>
      </c>
      <c r="B704" s="651" t="s">
        <v>1530</v>
      </c>
      <c r="C704" s="651" t="s">
        <v>1522</v>
      </c>
      <c r="D704" s="651">
        <v>1998</v>
      </c>
      <c r="E704" s="651">
        <v>10</v>
      </c>
      <c r="F704" s="651" t="s">
        <v>1520</v>
      </c>
      <c r="G704" s="651">
        <v>11.55</v>
      </c>
      <c r="H704" s="653">
        <v>2.86</v>
      </c>
      <c r="I704" s="653">
        <v>34.36</v>
      </c>
      <c r="J704" s="653"/>
      <c r="K704" s="651"/>
      <c r="L704" s="654"/>
      <c r="M704" s="651"/>
      <c r="N704" s="653"/>
      <c r="O704" s="651"/>
      <c r="P704" s="651"/>
    </row>
    <row r="705" spans="1:16" ht="47.25" customHeight="1">
      <c r="A705" s="652">
        <v>701</v>
      </c>
      <c r="B705" s="651" t="s">
        <v>1531</v>
      </c>
      <c r="C705" s="651" t="s">
        <v>1120</v>
      </c>
      <c r="D705" s="651">
        <v>2008</v>
      </c>
      <c r="E705" s="651">
        <v>10</v>
      </c>
      <c r="F705" s="651" t="s">
        <v>1520</v>
      </c>
      <c r="G705" s="651">
        <v>15</v>
      </c>
      <c r="H705" s="653">
        <v>0.62</v>
      </c>
      <c r="I705" s="653">
        <v>7.48</v>
      </c>
      <c r="J705" s="653">
        <v>30.57</v>
      </c>
      <c r="K705" s="651"/>
      <c r="L705" s="667"/>
      <c r="M705" s="651"/>
      <c r="N705" s="653"/>
      <c r="O705" s="651"/>
      <c r="P705" s="651"/>
    </row>
    <row r="706" spans="1:16" ht="18.75">
      <c r="A706" s="652">
        <v>702</v>
      </c>
      <c r="B706" s="651" t="s">
        <v>1532</v>
      </c>
      <c r="C706" s="651" t="s">
        <v>853</v>
      </c>
      <c r="D706" s="651">
        <v>2005</v>
      </c>
      <c r="E706" s="651">
        <v>10</v>
      </c>
      <c r="F706" s="651" t="s">
        <v>1520</v>
      </c>
      <c r="G706" s="651">
        <v>12.1</v>
      </c>
      <c r="H706" s="653">
        <v>1.31</v>
      </c>
      <c r="I706" s="653">
        <v>15.82</v>
      </c>
      <c r="J706" s="653"/>
      <c r="K706" s="651"/>
      <c r="L706" s="654"/>
      <c r="M706" s="651"/>
      <c r="N706" s="653"/>
      <c r="O706" s="651"/>
      <c r="P706" s="651"/>
    </row>
    <row r="707" spans="1:16" ht="18.75">
      <c r="A707" s="652">
        <v>703</v>
      </c>
      <c r="B707" s="651">
        <v>40814</v>
      </c>
      <c r="C707" s="651" t="s">
        <v>1405</v>
      </c>
      <c r="D707" s="651">
        <v>1981</v>
      </c>
      <c r="E707" s="651">
        <v>10</v>
      </c>
      <c r="F707" s="651" t="s">
        <v>1520</v>
      </c>
      <c r="G707" s="653">
        <v>12</v>
      </c>
      <c r="H707" s="653">
        <v>0.815</v>
      </c>
      <c r="I707" s="653">
        <v>9.78</v>
      </c>
      <c r="J707" s="653"/>
      <c r="K707" s="651"/>
      <c r="L707" s="654" t="s">
        <v>2232</v>
      </c>
      <c r="M707" s="651" t="s">
        <v>2233</v>
      </c>
      <c r="N707" s="653">
        <v>276.2</v>
      </c>
      <c r="O707" s="651">
        <v>7.3</v>
      </c>
      <c r="P707" s="651"/>
    </row>
    <row r="708" spans="1:16" ht="18.75">
      <c r="A708" s="652">
        <v>704</v>
      </c>
      <c r="B708" s="651"/>
      <c r="C708" s="651" t="s">
        <v>1405</v>
      </c>
      <c r="D708" s="651"/>
      <c r="E708" s="651">
        <v>10</v>
      </c>
      <c r="F708" s="651" t="s">
        <v>1520</v>
      </c>
      <c r="G708" s="651"/>
      <c r="H708" s="653"/>
      <c r="I708" s="653"/>
      <c r="J708" s="653"/>
      <c r="K708" s="651"/>
      <c r="L708" s="654"/>
      <c r="M708" s="651"/>
      <c r="N708" s="653"/>
      <c r="O708" s="651"/>
      <c r="P708" s="651"/>
    </row>
    <row r="709" spans="1:16" ht="37.5">
      <c r="A709" s="652">
        <v>705</v>
      </c>
      <c r="B709" s="688" t="s">
        <v>1533</v>
      </c>
      <c r="C709" s="688" t="s">
        <v>993</v>
      </c>
      <c r="D709" s="651">
        <v>1999</v>
      </c>
      <c r="E709" s="651">
        <v>10</v>
      </c>
      <c r="F709" s="651" t="s">
        <v>1534</v>
      </c>
      <c r="G709" s="689" t="s">
        <v>1535</v>
      </c>
      <c r="H709" s="653">
        <v>0.09166666666666667</v>
      </c>
      <c r="I709" s="653">
        <v>1.1</v>
      </c>
      <c r="J709" s="653"/>
      <c r="K709" s="651"/>
      <c r="L709" s="654"/>
      <c r="M709" s="654"/>
      <c r="N709" s="651"/>
      <c r="O709" s="651"/>
      <c r="P709" s="653"/>
    </row>
    <row r="710" spans="1:16" ht="37.5">
      <c r="A710" s="652">
        <v>706</v>
      </c>
      <c r="B710" s="688" t="s">
        <v>1536</v>
      </c>
      <c r="C710" s="688" t="s">
        <v>1537</v>
      </c>
      <c r="D710" s="651">
        <v>1988</v>
      </c>
      <c r="E710" s="651">
        <v>10</v>
      </c>
      <c r="F710" s="651" t="s">
        <v>1534</v>
      </c>
      <c r="G710" s="689" t="s">
        <v>1538</v>
      </c>
      <c r="H710" s="653">
        <v>0.3666666666666667</v>
      </c>
      <c r="I710" s="653">
        <v>4.4</v>
      </c>
      <c r="J710" s="653"/>
      <c r="K710" s="651"/>
      <c r="L710" s="654"/>
      <c r="M710" s="654"/>
      <c r="N710" s="655"/>
      <c r="O710" s="651"/>
      <c r="P710" s="653"/>
    </row>
    <row r="711" spans="1:16" ht="37.5">
      <c r="A711" s="652">
        <v>707</v>
      </c>
      <c r="B711" s="688" t="s">
        <v>1533</v>
      </c>
      <c r="C711" s="688" t="s">
        <v>993</v>
      </c>
      <c r="D711" s="651">
        <v>2003</v>
      </c>
      <c r="E711" s="651">
        <v>10</v>
      </c>
      <c r="F711" s="651" t="s">
        <v>1534</v>
      </c>
      <c r="G711" s="689" t="s">
        <v>1535</v>
      </c>
      <c r="H711" s="653">
        <v>0.30833333333333335</v>
      </c>
      <c r="I711" s="653">
        <v>3.7</v>
      </c>
      <c r="J711" s="653"/>
      <c r="K711" s="651"/>
      <c r="L711" s="654"/>
      <c r="M711" s="651"/>
      <c r="N711" s="653"/>
      <c r="O711" s="651"/>
      <c r="P711" s="653"/>
    </row>
    <row r="712" spans="1:16" ht="37.5">
      <c r="A712" s="652">
        <v>708</v>
      </c>
      <c r="B712" s="688" t="s">
        <v>1539</v>
      </c>
      <c r="C712" s="688" t="s">
        <v>994</v>
      </c>
      <c r="D712" s="651">
        <v>1999</v>
      </c>
      <c r="E712" s="651">
        <v>10</v>
      </c>
      <c r="F712" s="651" t="s">
        <v>1534</v>
      </c>
      <c r="G712" s="689" t="s">
        <v>1540</v>
      </c>
      <c r="H712" s="653">
        <v>0.3666666666666667</v>
      </c>
      <c r="I712" s="653">
        <v>4.4</v>
      </c>
      <c r="J712" s="653"/>
      <c r="K712" s="651"/>
      <c r="L712" s="654"/>
      <c r="M712" s="651"/>
      <c r="N712" s="656"/>
      <c r="O712" s="651"/>
      <c r="P712" s="653"/>
    </row>
    <row r="713" spans="1:16" ht="37.5">
      <c r="A713" s="652">
        <v>709</v>
      </c>
      <c r="B713" s="688" t="s">
        <v>1541</v>
      </c>
      <c r="C713" s="688" t="s">
        <v>853</v>
      </c>
      <c r="D713" s="651">
        <v>2001</v>
      </c>
      <c r="E713" s="651">
        <v>10</v>
      </c>
      <c r="F713" s="651" t="s">
        <v>1534</v>
      </c>
      <c r="G713" s="689" t="s">
        <v>1542</v>
      </c>
      <c r="H713" s="653">
        <v>1.2666666666666666</v>
      </c>
      <c r="I713" s="653">
        <v>15.2</v>
      </c>
      <c r="J713" s="653"/>
      <c r="K713" s="651"/>
      <c r="L713" s="654"/>
      <c r="M713" s="654"/>
      <c r="N713" s="655"/>
      <c r="O713" s="651"/>
      <c r="P713" s="653"/>
    </row>
    <row r="714" spans="1:16" ht="37.5">
      <c r="A714" s="652">
        <v>710</v>
      </c>
      <c r="B714" s="688" t="s">
        <v>1283</v>
      </c>
      <c r="C714" s="688" t="s">
        <v>1543</v>
      </c>
      <c r="D714" s="651">
        <v>2003</v>
      </c>
      <c r="E714" s="651">
        <v>10</v>
      </c>
      <c r="F714" s="651" t="s">
        <v>1534</v>
      </c>
      <c r="G714" s="689" t="s">
        <v>1544</v>
      </c>
      <c r="H714" s="653">
        <v>0.19999999999999998</v>
      </c>
      <c r="I714" s="653">
        <v>2.4</v>
      </c>
      <c r="J714" s="653"/>
      <c r="K714" s="651"/>
      <c r="L714" s="654"/>
      <c r="M714" s="651"/>
      <c r="N714" s="653"/>
      <c r="O714" s="651"/>
      <c r="P714" s="651"/>
    </row>
    <row r="715" spans="1:16" ht="37.5">
      <c r="A715" s="652">
        <v>711</v>
      </c>
      <c r="B715" s="688" t="s">
        <v>1533</v>
      </c>
      <c r="C715" s="688" t="s">
        <v>993</v>
      </c>
      <c r="D715" s="651">
        <v>1997</v>
      </c>
      <c r="E715" s="651">
        <v>10</v>
      </c>
      <c r="F715" s="651" t="s">
        <v>1534</v>
      </c>
      <c r="G715" s="689" t="s">
        <v>1535</v>
      </c>
      <c r="H715" s="653">
        <v>0.06666666666666667</v>
      </c>
      <c r="I715" s="653">
        <v>0.8</v>
      </c>
      <c r="J715" s="653"/>
      <c r="K715" s="651"/>
      <c r="L715" s="1411" t="s">
        <v>1344</v>
      </c>
      <c r="M715" s="1411" t="s">
        <v>2411</v>
      </c>
      <c r="N715" s="1411">
        <v>281.89</v>
      </c>
      <c r="O715" s="1411">
        <v>17</v>
      </c>
      <c r="P715" s="651"/>
    </row>
    <row r="716" spans="1:16" ht="37.5">
      <c r="A716" s="652">
        <v>712</v>
      </c>
      <c r="B716" s="688" t="s">
        <v>1545</v>
      </c>
      <c r="C716" s="688" t="s">
        <v>853</v>
      </c>
      <c r="D716" s="651">
        <v>1994</v>
      </c>
      <c r="E716" s="651">
        <v>10</v>
      </c>
      <c r="F716" s="651" t="s">
        <v>1534</v>
      </c>
      <c r="G716" s="689" t="s">
        <v>1546</v>
      </c>
      <c r="H716" s="653">
        <v>0.375</v>
      </c>
      <c r="I716" s="653">
        <v>4.5</v>
      </c>
      <c r="J716" s="653"/>
      <c r="K716" s="651"/>
      <c r="L716" s="654"/>
      <c r="M716" s="651"/>
      <c r="N716" s="653"/>
      <c r="O716" s="651"/>
      <c r="P716" s="651"/>
    </row>
    <row r="717" spans="1:16" ht="37.5">
      <c r="A717" s="652">
        <v>713</v>
      </c>
      <c r="B717" s="688" t="s">
        <v>1547</v>
      </c>
      <c r="C717" s="688" t="s">
        <v>1537</v>
      </c>
      <c r="D717" s="651">
        <v>1991</v>
      </c>
      <c r="E717" s="651">
        <v>10</v>
      </c>
      <c r="F717" s="651" t="s">
        <v>1534</v>
      </c>
      <c r="G717" s="689" t="s">
        <v>1548</v>
      </c>
      <c r="H717" s="653">
        <v>0.27499999999999997</v>
      </c>
      <c r="I717" s="653">
        <v>3.3</v>
      </c>
      <c r="J717" s="653"/>
      <c r="K717" s="651"/>
      <c r="L717" s="654"/>
      <c r="M717" s="651"/>
      <c r="N717" s="653"/>
      <c r="O717" s="651"/>
      <c r="P717" s="651"/>
    </row>
    <row r="718" spans="1:16" ht="37.5">
      <c r="A718" s="652">
        <v>714</v>
      </c>
      <c r="B718" s="688" t="s">
        <v>1549</v>
      </c>
      <c r="C718" s="688" t="s">
        <v>1537</v>
      </c>
      <c r="D718" s="651">
        <v>1992</v>
      </c>
      <c r="E718" s="651">
        <v>10</v>
      </c>
      <c r="F718" s="651" t="s">
        <v>1534</v>
      </c>
      <c r="G718" s="689" t="s">
        <v>1550</v>
      </c>
      <c r="H718" s="653">
        <v>0.10833333333333334</v>
      </c>
      <c r="I718" s="653">
        <v>1.3</v>
      </c>
      <c r="J718" s="653"/>
      <c r="K718" s="651"/>
      <c r="L718" s="654"/>
      <c r="M718" s="651"/>
      <c r="N718" s="653"/>
      <c r="O718" s="651"/>
      <c r="P718" s="651"/>
    </row>
    <row r="719" spans="1:16" ht="37.5">
      <c r="A719" s="652">
        <v>715</v>
      </c>
      <c r="B719" s="688" t="s">
        <v>1549</v>
      </c>
      <c r="C719" s="688" t="s">
        <v>1537</v>
      </c>
      <c r="D719" s="651">
        <v>1992</v>
      </c>
      <c r="E719" s="651">
        <v>10</v>
      </c>
      <c r="F719" s="651" t="s">
        <v>1534</v>
      </c>
      <c r="G719" s="689" t="s">
        <v>1550</v>
      </c>
      <c r="H719" s="653">
        <v>0.26666666666666666</v>
      </c>
      <c r="I719" s="653">
        <v>3.2</v>
      </c>
      <c r="J719" s="653"/>
      <c r="K719" s="651"/>
      <c r="L719" s="654"/>
      <c r="M719" s="651"/>
      <c r="N719" s="653"/>
      <c r="O719" s="651"/>
      <c r="P719" s="651"/>
    </row>
    <row r="720" spans="1:16" ht="37.5">
      <c r="A720" s="652">
        <v>716</v>
      </c>
      <c r="B720" s="688" t="s">
        <v>1541</v>
      </c>
      <c r="C720" s="688" t="s">
        <v>853</v>
      </c>
      <c r="D720" s="651">
        <v>1992</v>
      </c>
      <c r="E720" s="651">
        <v>10</v>
      </c>
      <c r="F720" s="651" t="s">
        <v>1534</v>
      </c>
      <c r="G720" s="689" t="s">
        <v>1542</v>
      </c>
      <c r="H720" s="653">
        <v>0.325</v>
      </c>
      <c r="I720" s="653">
        <v>3.9</v>
      </c>
      <c r="J720" s="653"/>
      <c r="K720" s="651"/>
      <c r="L720" s="654"/>
      <c r="M720" s="651"/>
      <c r="N720" s="653"/>
      <c r="O720" s="651"/>
      <c r="P720" s="651"/>
    </row>
    <row r="721" spans="1:16" ht="37.5">
      <c r="A721" s="652">
        <v>717</v>
      </c>
      <c r="B721" s="688" t="s">
        <v>1549</v>
      </c>
      <c r="C721" s="688" t="s">
        <v>1537</v>
      </c>
      <c r="D721" s="651">
        <v>1984</v>
      </c>
      <c r="E721" s="651">
        <v>10</v>
      </c>
      <c r="F721" s="651" t="s">
        <v>1534</v>
      </c>
      <c r="G721" s="689" t="s">
        <v>1550</v>
      </c>
      <c r="H721" s="653">
        <v>0.09999999999999999</v>
      </c>
      <c r="I721" s="653">
        <v>1.2</v>
      </c>
      <c r="J721" s="653"/>
      <c r="K721" s="651"/>
      <c r="L721" s="654"/>
      <c r="M721" s="651"/>
      <c r="N721" s="653"/>
      <c r="O721" s="651"/>
      <c r="P721" s="651"/>
    </row>
    <row r="722" spans="1:16" ht="37.5">
      <c r="A722" s="652">
        <v>718</v>
      </c>
      <c r="B722" s="690" t="s">
        <v>1551</v>
      </c>
      <c r="C722" s="688" t="s">
        <v>993</v>
      </c>
      <c r="D722" s="651">
        <v>2008</v>
      </c>
      <c r="E722" s="651">
        <v>10</v>
      </c>
      <c r="F722" s="651" t="s">
        <v>1534</v>
      </c>
      <c r="G722" s="689" t="s">
        <v>1552</v>
      </c>
      <c r="H722" s="653">
        <v>0.19166666666666665</v>
      </c>
      <c r="I722" s="653">
        <v>2.3</v>
      </c>
      <c r="J722" s="653">
        <v>32.8</v>
      </c>
      <c r="K722" s="651"/>
      <c r="L722" s="651"/>
      <c r="M722" s="651"/>
      <c r="N722" s="651"/>
      <c r="O722" s="651"/>
      <c r="P722" s="651"/>
    </row>
    <row r="723" spans="1:16" ht="37.5">
      <c r="A723" s="652">
        <v>719</v>
      </c>
      <c r="B723" s="688" t="s">
        <v>1553</v>
      </c>
      <c r="C723" s="688" t="s">
        <v>912</v>
      </c>
      <c r="D723" s="651">
        <v>1989</v>
      </c>
      <c r="E723" s="651">
        <v>10</v>
      </c>
      <c r="F723" s="651" t="s">
        <v>1534</v>
      </c>
      <c r="G723" s="689" t="s">
        <v>1554</v>
      </c>
      <c r="H723" s="653">
        <v>0.06666666666666667</v>
      </c>
      <c r="I723" s="653">
        <v>0.8</v>
      </c>
      <c r="J723" s="653"/>
      <c r="K723" s="651"/>
      <c r="L723" s="651"/>
      <c r="M723" s="651"/>
      <c r="N723" s="651"/>
      <c r="O723" s="651"/>
      <c r="P723" s="651"/>
    </row>
    <row r="724" spans="1:16" ht="37.5">
      <c r="A724" s="652">
        <v>720</v>
      </c>
      <c r="B724" s="688" t="s">
        <v>1555</v>
      </c>
      <c r="C724" s="688" t="s">
        <v>849</v>
      </c>
      <c r="D724" s="651">
        <v>1989</v>
      </c>
      <c r="E724" s="651">
        <v>10</v>
      </c>
      <c r="F724" s="651" t="s">
        <v>1534</v>
      </c>
      <c r="G724" s="689" t="s">
        <v>1556</v>
      </c>
      <c r="H724" s="653">
        <v>1.7583333333333335</v>
      </c>
      <c r="I724" s="653">
        <v>21.1</v>
      </c>
      <c r="J724" s="653"/>
      <c r="K724" s="651"/>
      <c r="L724" s="651"/>
      <c r="M724" s="651"/>
      <c r="N724" s="651"/>
      <c r="O724" s="651"/>
      <c r="P724" s="651"/>
    </row>
    <row r="725" spans="1:16" ht="37.5">
      <c r="A725" s="652">
        <v>721</v>
      </c>
      <c r="B725" s="688" t="s">
        <v>1555</v>
      </c>
      <c r="C725" s="688" t="s">
        <v>849</v>
      </c>
      <c r="D725" s="651">
        <v>1990</v>
      </c>
      <c r="E725" s="651">
        <v>10</v>
      </c>
      <c r="F725" s="651" t="s">
        <v>1534</v>
      </c>
      <c r="G725" s="689" t="s">
        <v>2410</v>
      </c>
      <c r="H725" s="653">
        <v>2.9333333333333336</v>
      </c>
      <c r="I725" s="653">
        <v>35.2</v>
      </c>
      <c r="J725" s="653"/>
      <c r="K725" s="651"/>
      <c r="L725" s="651" t="s">
        <v>2230</v>
      </c>
      <c r="M725" s="651" t="s">
        <v>2231</v>
      </c>
      <c r="N725" s="653">
        <v>640</v>
      </c>
      <c r="O725" s="651">
        <v>15</v>
      </c>
      <c r="P725" s="651"/>
    </row>
    <row r="726" spans="1:16" ht="37.5">
      <c r="A726" s="652">
        <v>722</v>
      </c>
      <c r="B726" s="688" t="s">
        <v>1557</v>
      </c>
      <c r="C726" s="688" t="s">
        <v>900</v>
      </c>
      <c r="D726" s="651">
        <v>2012</v>
      </c>
      <c r="E726" s="651">
        <v>10</v>
      </c>
      <c r="F726" s="651" t="s">
        <v>1534</v>
      </c>
      <c r="G726" s="689" t="s">
        <v>1558</v>
      </c>
      <c r="H726" s="653"/>
      <c r="I726" s="653"/>
      <c r="J726" s="653">
        <v>311.2</v>
      </c>
      <c r="K726" s="651"/>
      <c r="L726" s="654"/>
      <c r="M726" s="651"/>
      <c r="N726" s="653"/>
      <c r="O726" s="651"/>
      <c r="P726" s="651"/>
    </row>
    <row r="727" spans="1:16" ht="37.5">
      <c r="A727" s="652">
        <v>723</v>
      </c>
      <c r="B727" s="688" t="s">
        <v>1559</v>
      </c>
      <c r="C727" s="688" t="s">
        <v>1560</v>
      </c>
      <c r="D727" s="651">
        <v>2012</v>
      </c>
      <c r="E727" s="651">
        <v>10</v>
      </c>
      <c r="F727" s="651" t="s">
        <v>1534</v>
      </c>
      <c r="G727" s="689" t="s">
        <v>1561</v>
      </c>
      <c r="H727" s="653"/>
      <c r="I727" s="653"/>
      <c r="J727" s="653">
        <v>158.7</v>
      </c>
      <c r="K727" s="651"/>
      <c r="L727" s="651"/>
      <c r="M727" s="651"/>
      <c r="N727" s="651"/>
      <c r="O727" s="651"/>
      <c r="P727" s="651"/>
    </row>
    <row r="728" spans="1:16" ht="37.5">
      <c r="A728" s="652">
        <v>724</v>
      </c>
      <c r="B728" s="688" t="s">
        <v>1562</v>
      </c>
      <c r="C728" s="688" t="s">
        <v>1563</v>
      </c>
      <c r="D728" s="651">
        <v>1980</v>
      </c>
      <c r="E728" s="651">
        <v>10</v>
      </c>
      <c r="F728" s="651" t="s">
        <v>1534</v>
      </c>
      <c r="G728" s="651">
        <v>0</v>
      </c>
      <c r="H728" s="653">
        <v>0</v>
      </c>
      <c r="I728" s="653">
        <v>0</v>
      </c>
      <c r="J728" s="653">
        <v>0</v>
      </c>
      <c r="K728" s="651"/>
      <c r="L728" s="651"/>
      <c r="M728" s="651"/>
      <c r="N728" s="651"/>
      <c r="O728" s="651"/>
      <c r="P728" s="651"/>
    </row>
    <row r="729" spans="1:16" ht="37.5">
      <c r="A729" s="652">
        <v>725</v>
      </c>
      <c r="B729" s="688" t="s">
        <v>894</v>
      </c>
      <c r="C729" s="688" t="s">
        <v>893</v>
      </c>
      <c r="D729" s="651">
        <v>1989</v>
      </c>
      <c r="E729" s="651">
        <v>10</v>
      </c>
      <c r="F729" s="651" t="s">
        <v>1534</v>
      </c>
      <c r="G729" s="651">
        <v>0</v>
      </c>
      <c r="H729" s="653">
        <v>0</v>
      </c>
      <c r="I729" s="653">
        <v>0</v>
      </c>
      <c r="J729" s="653">
        <v>0</v>
      </c>
      <c r="K729" s="651"/>
      <c r="L729" s="651"/>
      <c r="M729" s="651"/>
      <c r="N729" s="651"/>
      <c r="O729" s="651"/>
      <c r="P729" s="651"/>
    </row>
    <row r="730" spans="1:16" ht="37.5">
      <c r="A730" s="652">
        <v>726</v>
      </c>
      <c r="B730" s="688" t="s">
        <v>1564</v>
      </c>
      <c r="C730" s="691" t="s">
        <v>917</v>
      </c>
      <c r="D730" s="651">
        <v>1989</v>
      </c>
      <c r="E730" s="651">
        <v>10</v>
      </c>
      <c r="F730" s="651" t="s">
        <v>1534</v>
      </c>
      <c r="G730" s="651">
        <v>0</v>
      </c>
      <c r="H730" s="653">
        <v>0</v>
      </c>
      <c r="I730" s="653">
        <v>0</v>
      </c>
      <c r="J730" s="653">
        <v>0</v>
      </c>
      <c r="K730" s="651"/>
      <c r="L730" s="651"/>
      <c r="M730" s="651"/>
      <c r="N730" s="651"/>
      <c r="O730" s="651"/>
      <c r="P730" s="651"/>
    </row>
    <row r="731" spans="1:16" ht="18.75">
      <c r="A731" s="652">
        <v>727</v>
      </c>
      <c r="B731" s="651" t="s">
        <v>876</v>
      </c>
      <c r="C731" s="651" t="s">
        <v>1565</v>
      </c>
      <c r="D731" s="651">
        <v>1994</v>
      </c>
      <c r="E731" s="651">
        <v>10</v>
      </c>
      <c r="F731" s="651" t="s">
        <v>1566</v>
      </c>
      <c r="G731" s="651">
        <v>31</v>
      </c>
      <c r="H731" s="653">
        <v>0</v>
      </c>
      <c r="I731" s="653">
        <v>0</v>
      </c>
      <c r="J731" s="653">
        <v>0</v>
      </c>
      <c r="K731" s="651"/>
      <c r="L731" s="654"/>
      <c r="M731" s="654"/>
      <c r="N731" s="651"/>
      <c r="O731" s="651"/>
      <c r="P731" s="653"/>
    </row>
    <row r="732" spans="1:16" ht="18.75">
      <c r="A732" s="652">
        <v>728</v>
      </c>
      <c r="B732" s="651" t="s">
        <v>1567</v>
      </c>
      <c r="C732" s="651" t="s">
        <v>1568</v>
      </c>
      <c r="D732" s="651">
        <v>1986</v>
      </c>
      <c r="E732" s="651">
        <v>10</v>
      </c>
      <c r="F732" s="651" t="s">
        <v>1566</v>
      </c>
      <c r="G732" s="651">
        <v>27</v>
      </c>
      <c r="H732" s="653">
        <v>417</v>
      </c>
      <c r="I732" s="653">
        <v>5013</v>
      </c>
      <c r="J732" s="653">
        <v>0</v>
      </c>
      <c r="K732" s="651"/>
      <c r="L732" s="654"/>
      <c r="M732" s="654"/>
      <c r="N732" s="655"/>
      <c r="O732" s="651"/>
      <c r="P732" s="653"/>
    </row>
    <row r="733" spans="1:16" ht="18.75">
      <c r="A733" s="652">
        <v>729</v>
      </c>
      <c r="B733" s="651" t="s">
        <v>834</v>
      </c>
      <c r="C733" s="651" t="s">
        <v>1569</v>
      </c>
      <c r="D733" s="651">
        <v>1987</v>
      </c>
      <c r="E733" s="651">
        <v>10</v>
      </c>
      <c r="F733" s="651" t="s">
        <v>1566</v>
      </c>
      <c r="G733" s="651">
        <v>25</v>
      </c>
      <c r="H733" s="653">
        <v>0.07</v>
      </c>
      <c r="I733" s="653">
        <v>0.9</v>
      </c>
      <c r="J733" s="653">
        <v>0</v>
      </c>
      <c r="K733" s="651"/>
      <c r="L733" s="654"/>
      <c r="M733" s="651"/>
      <c r="N733" s="653"/>
      <c r="O733" s="651"/>
      <c r="P733" s="653"/>
    </row>
    <row r="734" spans="1:16" ht="37.5">
      <c r="A734" s="652">
        <v>730</v>
      </c>
      <c r="B734" s="651" t="s">
        <v>834</v>
      </c>
      <c r="C734" s="651" t="s">
        <v>1570</v>
      </c>
      <c r="D734" s="651">
        <v>1970</v>
      </c>
      <c r="E734" s="651">
        <v>10</v>
      </c>
      <c r="F734" s="651" t="s">
        <v>1566</v>
      </c>
      <c r="G734" s="692" t="s">
        <v>1571</v>
      </c>
      <c r="H734" s="653">
        <v>0.4</v>
      </c>
      <c r="I734" s="653">
        <v>4.83</v>
      </c>
      <c r="J734" s="653">
        <v>0</v>
      </c>
      <c r="K734" s="651"/>
      <c r="L734" s="654"/>
      <c r="M734" s="651"/>
      <c r="N734" s="656"/>
      <c r="O734" s="651"/>
      <c r="P734" s="653"/>
    </row>
    <row r="735" spans="1:16" ht="37.5">
      <c r="A735" s="652">
        <v>731</v>
      </c>
      <c r="B735" s="651" t="s">
        <v>850</v>
      </c>
      <c r="C735" s="651" t="s">
        <v>1572</v>
      </c>
      <c r="D735" s="651">
        <v>2006</v>
      </c>
      <c r="E735" s="651">
        <v>10</v>
      </c>
      <c r="F735" s="651" t="s">
        <v>1566</v>
      </c>
      <c r="G735" s="692" t="s">
        <v>1573</v>
      </c>
      <c r="H735" s="653">
        <v>0.45</v>
      </c>
      <c r="I735" s="653">
        <v>5.45</v>
      </c>
      <c r="J735" s="653">
        <v>31.98</v>
      </c>
      <c r="K735" s="651"/>
      <c r="L735" s="654"/>
      <c r="M735" s="654"/>
      <c r="N735" s="655"/>
      <c r="O735" s="651"/>
      <c r="P735" s="653"/>
    </row>
    <row r="736" spans="1:16" ht="37.5">
      <c r="A736" s="652">
        <v>732</v>
      </c>
      <c r="B736" s="651" t="s">
        <v>843</v>
      </c>
      <c r="C736" s="651" t="s">
        <v>1667</v>
      </c>
      <c r="D736" s="651">
        <v>1998</v>
      </c>
      <c r="E736" s="651">
        <v>10</v>
      </c>
      <c r="F736" s="651" t="s">
        <v>1566</v>
      </c>
      <c r="G736" s="651">
        <v>17</v>
      </c>
      <c r="H736" s="653">
        <v>0.47</v>
      </c>
      <c r="I736" s="653">
        <v>5.66</v>
      </c>
      <c r="J736" s="653">
        <v>0</v>
      </c>
      <c r="K736" s="651"/>
      <c r="L736" s="654"/>
      <c r="M736" s="651"/>
      <c r="N736" s="653"/>
      <c r="O736" s="651"/>
      <c r="P736" s="651"/>
    </row>
    <row r="737" spans="1:16" ht="37.5">
      <c r="A737" s="652">
        <v>733</v>
      </c>
      <c r="B737" s="651" t="s">
        <v>843</v>
      </c>
      <c r="C737" s="651" t="s">
        <v>1668</v>
      </c>
      <c r="D737" s="651">
        <v>1999</v>
      </c>
      <c r="E737" s="651">
        <v>10</v>
      </c>
      <c r="F737" s="651" t="s">
        <v>1566</v>
      </c>
      <c r="G737" s="651">
        <v>17</v>
      </c>
      <c r="H737" s="653">
        <v>0.08</v>
      </c>
      <c r="I737" s="653">
        <v>0.72</v>
      </c>
      <c r="J737" s="653">
        <v>0</v>
      </c>
      <c r="K737" s="651"/>
      <c r="L737" s="654"/>
      <c r="M737" s="651"/>
      <c r="N737" s="655"/>
      <c r="O737" s="651"/>
      <c r="P737" s="651"/>
    </row>
    <row r="738" spans="1:16" ht="37.5">
      <c r="A738" s="652">
        <v>734</v>
      </c>
      <c r="B738" s="651" t="s">
        <v>1574</v>
      </c>
      <c r="C738" s="651" t="s">
        <v>1575</v>
      </c>
      <c r="D738" s="651">
        <v>1999</v>
      </c>
      <c r="E738" s="651">
        <v>10</v>
      </c>
      <c r="F738" s="651" t="s">
        <v>1566</v>
      </c>
      <c r="G738" s="651">
        <v>17.9</v>
      </c>
      <c r="H738" s="653">
        <v>0.15</v>
      </c>
      <c r="I738" s="653">
        <v>1.79</v>
      </c>
      <c r="J738" s="653">
        <v>0</v>
      </c>
      <c r="K738" s="651"/>
      <c r="L738" s="654"/>
      <c r="M738" s="651"/>
      <c r="N738" s="653"/>
      <c r="O738" s="651"/>
      <c r="P738" s="651"/>
    </row>
    <row r="739" spans="1:16" ht="37.5">
      <c r="A739" s="652">
        <v>735</v>
      </c>
      <c r="B739" s="651" t="s">
        <v>1576</v>
      </c>
      <c r="C739" s="651" t="s">
        <v>1575</v>
      </c>
      <c r="D739" s="651">
        <v>2012</v>
      </c>
      <c r="E739" s="651">
        <v>10</v>
      </c>
      <c r="F739" s="651" t="s">
        <v>1566</v>
      </c>
      <c r="G739" s="651">
        <v>12.9</v>
      </c>
      <c r="H739" s="653">
        <v>0</v>
      </c>
      <c r="I739" s="653">
        <v>0</v>
      </c>
      <c r="J739" s="653">
        <v>167.5</v>
      </c>
      <c r="K739" s="651"/>
      <c r="L739" s="651"/>
      <c r="M739" s="651"/>
      <c r="N739" s="651"/>
      <c r="O739" s="651"/>
      <c r="P739" s="651"/>
    </row>
    <row r="740" spans="1:16" ht="18.75">
      <c r="A740" s="652">
        <v>736</v>
      </c>
      <c r="B740" s="651" t="s">
        <v>1577</v>
      </c>
      <c r="C740" s="651" t="s">
        <v>1145</v>
      </c>
      <c r="D740" s="651">
        <v>2003</v>
      </c>
      <c r="E740" s="651">
        <v>10</v>
      </c>
      <c r="F740" s="651" t="s">
        <v>1566</v>
      </c>
      <c r="G740" s="651">
        <v>9.3</v>
      </c>
      <c r="H740" s="653">
        <v>0.1</v>
      </c>
      <c r="I740" s="653">
        <v>1.31</v>
      </c>
      <c r="J740" s="653">
        <v>0</v>
      </c>
      <c r="K740" s="651"/>
      <c r="L740" s="651"/>
      <c r="M740" s="651"/>
      <c r="N740" s="651"/>
      <c r="O740" s="651"/>
      <c r="P740" s="651"/>
    </row>
    <row r="741" spans="1:16" ht="18.75">
      <c r="A741" s="652">
        <v>737</v>
      </c>
      <c r="B741" s="651" t="s">
        <v>1499</v>
      </c>
      <c r="C741" s="651" t="s">
        <v>1145</v>
      </c>
      <c r="D741" s="651">
        <v>2004</v>
      </c>
      <c r="E741" s="651">
        <v>10</v>
      </c>
      <c r="F741" s="651" t="s">
        <v>1566</v>
      </c>
      <c r="G741" s="651">
        <v>17</v>
      </c>
      <c r="H741" s="653">
        <v>0.06</v>
      </c>
      <c r="I741" s="653">
        <v>0.75</v>
      </c>
      <c r="J741" s="653">
        <v>2.94</v>
      </c>
      <c r="K741" s="651"/>
      <c r="L741" s="651"/>
      <c r="M741" s="651"/>
      <c r="N741" s="651"/>
      <c r="O741" s="651"/>
      <c r="P741" s="651"/>
    </row>
    <row r="742" spans="1:16" ht="18.75">
      <c r="A742" s="652">
        <v>738</v>
      </c>
      <c r="B742" s="651" t="s">
        <v>831</v>
      </c>
      <c r="C742" s="651" t="s">
        <v>912</v>
      </c>
      <c r="D742" s="651">
        <v>1995</v>
      </c>
      <c r="E742" s="651">
        <v>10</v>
      </c>
      <c r="F742" s="651" t="s">
        <v>1566</v>
      </c>
      <c r="G742" s="651" t="s">
        <v>1578</v>
      </c>
      <c r="H742" s="653">
        <v>0.15</v>
      </c>
      <c r="I742" s="653">
        <v>1.84</v>
      </c>
      <c r="J742" s="653">
        <v>0</v>
      </c>
      <c r="K742" s="651"/>
      <c r="L742" s="654"/>
      <c r="M742" s="651"/>
      <c r="N742" s="653"/>
      <c r="O742" s="651"/>
      <c r="P742" s="651"/>
    </row>
    <row r="743" spans="1:16" ht="18.75">
      <c r="A743" s="652">
        <v>739</v>
      </c>
      <c r="B743" s="651" t="s">
        <v>832</v>
      </c>
      <c r="C743" s="651" t="s">
        <v>849</v>
      </c>
      <c r="D743" s="651">
        <v>1992</v>
      </c>
      <c r="E743" s="651">
        <v>10</v>
      </c>
      <c r="F743" s="651" t="s">
        <v>1566</v>
      </c>
      <c r="G743" s="651" t="s">
        <v>1579</v>
      </c>
      <c r="H743" s="653">
        <v>0</v>
      </c>
      <c r="I743" s="653">
        <v>0</v>
      </c>
      <c r="J743" s="653">
        <v>0</v>
      </c>
      <c r="K743" s="651"/>
      <c r="L743" s="651"/>
      <c r="M743" s="651"/>
      <c r="N743" s="651"/>
      <c r="O743" s="651"/>
      <c r="P743" s="651"/>
    </row>
    <row r="744" spans="1:16" ht="18.75">
      <c r="A744" s="652">
        <v>740</v>
      </c>
      <c r="B744" s="651" t="s">
        <v>832</v>
      </c>
      <c r="C744" s="651" t="s">
        <v>912</v>
      </c>
      <c r="D744" s="651">
        <v>1970</v>
      </c>
      <c r="E744" s="651">
        <v>10</v>
      </c>
      <c r="F744" s="651" t="s">
        <v>1566</v>
      </c>
      <c r="G744" s="651" t="s">
        <v>1579</v>
      </c>
      <c r="H744" s="653">
        <v>0</v>
      </c>
      <c r="I744" s="653">
        <v>0</v>
      </c>
      <c r="J744" s="653">
        <v>0</v>
      </c>
      <c r="K744" s="651"/>
      <c r="L744" s="651"/>
      <c r="M744" s="651"/>
      <c r="N744" s="651"/>
      <c r="O744" s="651"/>
      <c r="P744" s="651"/>
    </row>
    <row r="745" spans="1:16" ht="18.75">
      <c r="A745" s="652">
        <v>741</v>
      </c>
      <c r="B745" s="651" t="s">
        <v>942</v>
      </c>
      <c r="C745" s="651" t="s">
        <v>893</v>
      </c>
      <c r="D745" s="651">
        <v>1990</v>
      </c>
      <c r="E745" s="651">
        <v>10</v>
      </c>
      <c r="F745" s="651" t="s">
        <v>1566</v>
      </c>
      <c r="G745" s="651">
        <v>0</v>
      </c>
      <c r="H745" s="653">
        <v>0</v>
      </c>
      <c r="I745" s="653">
        <v>0</v>
      </c>
      <c r="J745" s="653">
        <v>0</v>
      </c>
      <c r="K745" s="651"/>
      <c r="L745" s="651"/>
      <c r="M745" s="651"/>
      <c r="N745" s="651"/>
      <c r="O745" s="651"/>
      <c r="P745" s="651"/>
    </row>
    <row r="746" spans="1:16" ht="18.75">
      <c r="A746" s="652">
        <v>742</v>
      </c>
      <c r="B746" s="651" t="s">
        <v>1580</v>
      </c>
      <c r="C746" s="651" t="s">
        <v>893</v>
      </c>
      <c r="D746" s="651">
        <v>1990</v>
      </c>
      <c r="E746" s="651">
        <v>10</v>
      </c>
      <c r="F746" s="651" t="s">
        <v>1566</v>
      </c>
      <c r="G746" s="651">
        <v>0</v>
      </c>
      <c r="H746" s="653">
        <v>0</v>
      </c>
      <c r="I746" s="653">
        <v>0</v>
      </c>
      <c r="J746" s="653">
        <v>0</v>
      </c>
      <c r="K746" s="651"/>
      <c r="L746" s="651"/>
      <c r="M746" s="651"/>
      <c r="N746" s="651"/>
      <c r="O746" s="651"/>
      <c r="P746" s="651"/>
    </row>
    <row r="747" spans="1:15" ht="18">
      <c r="A747" s="120"/>
      <c r="B747" s="119"/>
      <c r="C747" s="119"/>
      <c r="D747" s="119"/>
      <c r="E747" s="119"/>
      <c r="F747" s="119"/>
      <c r="G747" s="119"/>
      <c r="H747" s="119"/>
      <c r="I747" s="119"/>
      <c r="J747" s="119"/>
      <c r="K747" s="119"/>
      <c r="L747" s="119"/>
      <c r="M747" s="119"/>
      <c r="N747" s="119"/>
      <c r="O747" s="119"/>
    </row>
    <row r="748" ht="12.75">
      <c r="B748" s="118"/>
    </row>
  </sheetData>
  <sheetProtection/>
  <mergeCells count="12">
    <mergeCell ref="F2:F3"/>
    <mergeCell ref="G2:G3"/>
    <mergeCell ref="H2:I2"/>
    <mergeCell ref="J2:J3"/>
    <mergeCell ref="K2:K3"/>
    <mergeCell ref="L2:P2"/>
    <mergeCell ref="A1:P1"/>
    <mergeCell ref="A2:A3"/>
    <mergeCell ref="B2:B3"/>
    <mergeCell ref="C2:C3"/>
    <mergeCell ref="D2:D3"/>
    <mergeCell ref="E2:E3"/>
  </mergeCells>
  <printOptions horizontalCentered="1"/>
  <pageMargins left="0.3937007874015748" right="0.3937007874015748" top="0.7874015748031497" bottom="0.3937007874015748" header="0" footer="0"/>
  <pageSetup fitToHeight="10" horizontalDpi="600" verticalDpi="600" orientation="landscape" paperSize="9" scale="55" r:id="rId1"/>
</worksheet>
</file>

<file path=xl/worksheets/sheet18.xml><?xml version="1.0" encoding="utf-8"?>
<worksheet xmlns="http://schemas.openxmlformats.org/spreadsheetml/2006/main" xmlns:r="http://schemas.openxmlformats.org/officeDocument/2006/relationships">
  <sheetPr>
    <pageSetUpPr fitToPage="1"/>
  </sheetPr>
  <dimension ref="A1:J26"/>
  <sheetViews>
    <sheetView view="pageBreakPreview" zoomScaleSheetLayoutView="100" zoomScalePageLayoutView="0" workbookViewId="0" topLeftCell="A10">
      <selection activeCell="G9" sqref="G9"/>
    </sheetView>
  </sheetViews>
  <sheetFormatPr defaultColWidth="9.00390625" defaultRowHeight="12.75"/>
  <cols>
    <col min="1" max="1" width="4.00390625" style="44" customWidth="1"/>
    <col min="2" max="2" width="19.00390625" style="44" customWidth="1"/>
    <col min="3" max="3" width="20.75390625" style="44" customWidth="1"/>
    <col min="4" max="4" width="17.625" style="44" customWidth="1"/>
    <col min="5" max="5" width="19.875" style="44" customWidth="1"/>
    <col min="6" max="6" width="17.00390625" style="44" customWidth="1"/>
    <col min="7" max="7" width="18.125" style="44" customWidth="1"/>
    <col min="8" max="9" width="23.625" style="44" customWidth="1"/>
    <col min="10" max="10" width="12.75390625" style="44" customWidth="1"/>
    <col min="11" max="16384" width="9.125" style="44" customWidth="1"/>
  </cols>
  <sheetData>
    <row r="1" spans="1:10" ht="35.25" customHeight="1">
      <c r="A1" s="1590" t="s">
        <v>35</v>
      </c>
      <c r="B1" s="1590"/>
      <c r="C1" s="1590"/>
      <c r="D1" s="1590"/>
      <c r="E1" s="1590"/>
      <c r="F1" s="1590"/>
      <c r="G1" s="1590"/>
      <c r="H1" s="1590"/>
      <c r="I1" s="1590"/>
      <c r="J1" s="1590"/>
    </row>
    <row r="2" spans="1:10" ht="18.75" customHeight="1">
      <c r="A2" s="1591" t="s">
        <v>2082</v>
      </c>
      <c r="B2" s="1591" t="s">
        <v>36</v>
      </c>
      <c r="C2" s="1591" t="s">
        <v>37</v>
      </c>
      <c r="D2" s="1591" t="s">
        <v>448</v>
      </c>
      <c r="E2" s="1592" t="s">
        <v>449</v>
      </c>
      <c r="F2" s="1593"/>
      <c r="G2" s="1593"/>
      <c r="H2" s="1593"/>
      <c r="I2" s="1594"/>
      <c r="J2" s="1591" t="s">
        <v>40</v>
      </c>
    </row>
    <row r="3" spans="1:10" s="45" customFormat="1" ht="82.5" customHeight="1">
      <c r="A3" s="1591"/>
      <c r="B3" s="1591"/>
      <c r="C3" s="1591"/>
      <c r="D3" s="1591"/>
      <c r="E3" s="327" t="s">
        <v>1994</v>
      </c>
      <c r="F3" s="327" t="s">
        <v>38</v>
      </c>
      <c r="G3" s="327" t="s">
        <v>1995</v>
      </c>
      <c r="H3" s="327" t="s">
        <v>1996</v>
      </c>
      <c r="I3" s="327" t="s">
        <v>39</v>
      </c>
      <c r="J3" s="1591"/>
    </row>
    <row r="4" spans="1:10" s="45" customFormat="1" ht="14.25" customHeight="1">
      <c r="A4" s="327">
        <v>1</v>
      </c>
      <c r="B4" s="327">
        <v>2</v>
      </c>
      <c r="C4" s="327">
        <v>3</v>
      </c>
      <c r="D4" s="327">
        <v>4</v>
      </c>
      <c r="E4" s="327">
        <v>5</v>
      </c>
      <c r="F4" s="327">
        <v>6</v>
      </c>
      <c r="G4" s="327">
        <v>7</v>
      </c>
      <c r="H4" s="327">
        <v>8</v>
      </c>
      <c r="I4" s="327" t="s">
        <v>1997</v>
      </c>
      <c r="J4" s="327" t="s">
        <v>1998</v>
      </c>
    </row>
    <row r="5" spans="1:10" ht="76.5" customHeight="1">
      <c r="A5" s="693">
        <v>1</v>
      </c>
      <c r="B5" s="693" t="s">
        <v>831</v>
      </c>
      <c r="C5" s="694" t="s">
        <v>2215</v>
      </c>
      <c r="D5" s="695">
        <v>640</v>
      </c>
      <c r="E5" s="695">
        <v>4.25</v>
      </c>
      <c r="F5" s="695">
        <v>8.333333333333334</v>
      </c>
      <c r="G5" s="695">
        <v>6</v>
      </c>
      <c r="H5" s="695">
        <v>26.666666666666668</v>
      </c>
      <c r="I5" s="695">
        <f aca="true" t="shared" si="0" ref="I5:I14">E5+F5+G5+H5</f>
        <v>45.25</v>
      </c>
      <c r="J5" s="696">
        <f aca="true" t="shared" si="1" ref="J5:J14">D5/I5</f>
        <v>14.143646408839778</v>
      </c>
    </row>
    <row r="6" spans="1:10" ht="33.75" customHeight="1">
      <c r="A6" s="693">
        <v>2</v>
      </c>
      <c r="B6" s="330" t="s">
        <v>2284</v>
      </c>
      <c r="C6" s="697" t="s">
        <v>2286</v>
      </c>
      <c r="D6" s="849">
        <v>597.61</v>
      </c>
      <c r="E6" s="699">
        <v>6.666666666666667</v>
      </c>
      <c r="F6" s="699">
        <v>12</v>
      </c>
      <c r="G6" s="699">
        <v>4.8</v>
      </c>
      <c r="H6" s="699">
        <v>15</v>
      </c>
      <c r="I6" s="695">
        <f t="shared" si="0"/>
        <v>38.46666666666667</v>
      </c>
      <c r="J6" s="696">
        <f t="shared" si="1"/>
        <v>15.535788561525129</v>
      </c>
    </row>
    <row r="7" spans="1:10" ht="31.5" customHeight="1">
      <c r="A7" s="693">
        <v>3</v>
      </c>
      <c r="B7" s="697" t="s">
        <v>2283</v>
      </c>
      <c r="C7" s="698" t="s">
        <v>2286</v>
      </c>
      <c r="D7" s="849">
        <v>597.61</v>
      </c>
      <c r="E7" s="699">
        <v>6.666666666666667</v>
      </c>
      <c r="F7" s="699">
        <v>12</v>
      </c>
      <c r="G7" s="699">
        <v>4.8</v>
      </c>
      <c r="H7" s="700">
        <v>15</v>
      </c>
      <c r="I7" s="695">
        <f t="shared" si="0"/>
        <v>38.46666666666667</v>
      </c>
      <c r="J7" s="696">
        <f t="shared" si="1"/>
        <v>15.535788561525129</v>
      </c>
    </row>
    <row r="8" spans="1:10" ht="45">
      <c r="A8" s="693">
        <v>4</v>
      </c>
      <c r="B8" s="697" t="s">
        <v>2235</v>
      </c>
      <c r="C8" s="694" t="s">
        <v>2234</v>
      </c>
      <c r="D8" s="701">
        <v>276.2</v>
      </c>
      <c r="E8" s="699">
        <v>1.25</v>
      </c>
      <c r="F8" s="699">
        <v>2.2</v>
      </c>
      <c r="G8" s="699">
        <v>2.2</v>
      </c>
      <c r="H8" s="699">
        <v>4.2</v>
      </c>
      <c r="I8" s="695">
        <f t="shared" si="0"/>
        <v>9.850000000000001</v>
      </c>
      <c r="J8" s="696">
        <f t="shared" si="1"/>
        <v>28.04060913705583</v>
      </c>
    </row>
    <row r="9" spans="1:10" ht="38.25" customHeight="1">
      <c r="A9" s="693">
        <v>5</v>
      </c>
      <c r="B9" s="697" t="s">
        <v>2283</v>
      </c>
      <c r="C9" s="698" t="s">
        <v>2286</v>
      </c>
      <c r="D9" s="849">
        <v>916.7</v>
      </c>
      <c r="E9" s="699">
        <v>6.666666666666667</v>
      </c>
      <c r="F9" s="699">
        <v>12</v>
      </c>
      <c r="G9" s="699">
        <v>4.8</v>
      </c>
      <c r="H9" s="700">
        <v>15</v>
      </c>
      <c r="I9" s="695">
        <f t="shared" si="0"/>
        <v>38.46666666666667</v>
      </c>
      <c r="J9" s="696">
        <f t="shared" si="1"/>
        <v>23.83102253032929</v>
      </c>
    </row>
    <row r="10" spans="1:10" ht="30">
      <c r="A10" s="693">
        <v>6</v>
      </c>
      <c r="B10" s="697" t="s">
        <v>2283</v>
      </c>
      <c r="C10" s="698" t="s">
        <v>2286</v>
      </c>
      <c r="D10" s="849">
        <v>916.7</v>
      </c>
      <c r="E10" s="699">
        <v>6.666666666666667</v>
      </c>
      <c r="F10" s="699">
        <v>12</v>
      </c>
      <c r="G10" s="699">
        <v>4.8</v>
      </c>
      <c r="H10" s="700">
        <v>15</v>
      </c>
      <c r="I10" s="695">
        <f t="shared" si="0"/>
        <v>38.46666666666667</v>
      </c>
      <c r="J10" s="696">
        <f t="shared" si="1"/>
        <v>23.83102253032929</v>
      </c>
    </row>
    <row r="11" spans="1:10" ht="60">
      <c r="A11" s="693">
        <v>7</v>
      </c>
      <c r="B11" s="693" t="s">
        <v>831</v>
      </c>
      <c r="C11" s="694" t="s">
        <v>2215</v>
      </c>
      <c r="D11" s="695">
        <v>1097.21</v>
      </c>
      <c r="E11" s="695">
        <v>4.25</v>
      </c>
      <c r="F11" s="695">
        <v>8.333333333333334</v>
      </c>
      <c r="G11" s="695">
        <v>6</v>
      </c>
      <c r="H11" s="695">
        <v>26.666666666666668</v>
      </c>
      <c r="I11" s="695">
        <f t="shared" si="0"/>
        <v>45.25</v>
      </c>
      <c r="J11" s="696">
        <f t="shared" si="1"/>
        <v>24.247734806629836</v>
      </c>
    </row>
    <row r="12" spans="1:10" ht="15">
      <c r="A12" s="693">
        <v>8</v>
      </c>
      <c r="B12" s="693" t="s">
        <v>2407</v>
      </c>
      <c r="C12" s="693" t="s">
        <v>1344</v>
      </c>
      <c r="D12" s="695">
        <v>281.89</v>
      </c>
      <c r="E12" s="695">
        <v>1</v>
      </c>
      <c r="F12" s="695">
        <v>5</v>
      </c>
      <c r="G12" s="695">
        <v>2</v>
      </c>
      <c r="H12" s="695">
        <v>8</v>
      </c>
      <c r="I12" s="695">
        <f t="shared" si="0"/>
        <v>16</v>
      </c>
      <c r="J12" s="696">
        <f t="shared" si="1"/>
        <v>17.618125</v>
      </c>
    </row>
    <row r="13" spans="1:10" ht="15">
      <c r="A13" s="693">
        <v>9</v>
      </c>
      <c r="B13" s="693" t="s">
        <v>2407</v>
      </c>
      <c r="C13" s="693" t="s">
        <v>1344</v>
      </c>
      <c r="D13" s="695">
        <v>281.89</v>
      </c>
      <c r="E13" s="695">
        <v>1</v>
      </c>
      <c r="F13" s="695">
        <v>5</v>
      </c>
      <c r="G13" s="695">
        <v>2</v>
      </c>
      <c r="H13" s="695">
        <v>8</v>
      </c>
      <c r="I13" s="695">
        <f t="shared" si="0"/>
        <v>16</v>
      </c>
      <c r="J13" s="696">
        <f t="shared" si="1"/>
        <v>17.618125</v>
      </c>
    </row>
    <row r="14" spans="1:10" ht="15">
      <c r="A14" s="693">
        <v>10</v>
      </c>
      <c r="B14" s="693" t="s">
        <v>883</v>
      </c>
      <c r="C14" s="693" t="s">
        <v>1344</v>
      </c>
      <c r="D14" s="695">
        <v>281.89</v>
      </c>
      <c r="E14" s="695">
        <v>0</v>
      </c>
      <c r="F14" s="695">
        <v>5</v>
      </c>
      <c r="G14" s="695">
        <v>2</v>
      </c>
      <c r="H14" s="695">
        <v>8</v>
      </c>
      <c r="I14" s="695">
        <f t="shared" si="0"/>
        <v>15</v>
      </c>
      <c r="J14" s="696">
        <f t="shared" si="1"/>
        <v>18.792666666666666</v>
      </c>
    </row>
    <row r="15" spans="1:10" ht="15">
      <c r="A15" s="693">
        <v>11</v>
      </c>
      <c r="B15" s="693" t="s">
        <v>1364</v>
      </c>
      <c r="C15" s="693" t="s">
        <v>1344</v>
      </c>
      <c r="D15" s="695">
        <v>281.89</v>
      </c>
      <c r="E15" s="695">
        <v>2</v>
      </c>
      <c r="F15" s="695">
        <v>5</v>
      </c>
      <c r="G15" s="695">
        <v>2</v>
      </c>
      <c r="H15" s="695">
        <v>8</v>
      </c>
      <c r="I15" s="695">
        <f aca="true" t="shared" si="2" ref="I15:I23">E15+F15+G15+H15</f>
        <v>17</v>
      </c>
      <c r="J15" s="696">
        <f aca="true" t="shared" si="3" ref="J15:J23">D15/I15</f>
        <v>16.581764705882353</v>
      </c>
    </row>
    <row r="16" spans="1:10" ht="15">
      <c r="A16" s="693">
        <v>12</v>
      </c>
      <c r="B16" s="693" t="s">
        <v>951</v>
      </c>
      <c r="C16" s="693" t="s">
        <v>1344</v>
      </c>
      <c r="D16" s="695">
        <v>281.89</v>
      </c>
      <c r="E16" s="695">
        <v>8</v>
      </c>
      <c r="F16" s="695">
        <v>5</v>
      </c>
      <c r="G16" s="695">
        <v>2</v>
      </c>
      <c r="H16" s="695">
        <v>10</v>
      </c>
      <c r="I16" s="695">
        <f t="shared" si="2"/>
        <v>25</v>
      </c>
      <c r="J16" s="696">
        <f t="shared" si="3"/>
        <v>11.275599999999999</v>
      </c>
    </row>
    <row r="17" spans="1:10" ht="15">
      <c r="A17" s="693">
        <v>13</v>
      </c>
      <c r="B17" s="693" t="s">
        <v>855</v>
      </c>
      <c r="C17" s="693" t="s">
        <v>1344</v>
      </c>
      <c r="D17" s="695">
        <v>281.89</v>
      </c>
      <c r="E17" s="695">
        <v>0</v>
      </c>
      <c r="F17" s="695">
        <v>5</v>
      </c>
      <c r="G17" s="695">
        <v>2</v>
      </c>
      <c r="H17" s="695">
        <v>8</v>
      </c>
      <c r="I17" s="695">
        <f t="shared" si="2"/>
        <v>15</v>
      </c>
      <c r="J17" s="696">
        <f t="shared" si="3"/>
        <v>18.792666666666666</v>
      </c>
    </row>
    <row r="18" spans="1:10" ht="15">
      <c r="A18" s="693">
        <v>14</v>
      </c>
      <c r="B18" s="693" t="s">
        <v>855</v>
      </c>
      <c r="C18" s="693" t="s">
        <v>1344</v>
      </c>
      <c r="D18" s="695">
        <v>281.89</v>
      </c>
      <c r="E18" s="695">
        <v>0</v>
      </c>
      <c r="F18" s="695">
        <v>5</v>
      </c>
      <c r="G18" s="695">
        <v>2</v>
      </c>
      <c r="H18" s="695">
        <v>8</v>
      </c>
      <c r="I18" s="695">
        <f t="shared" si="2"/>
        <v>15</v>
      </c>
      <c r="J18" s="696">
        <f t="shared" si="3"/>
        <v>18.792666666666666</v>
      </c>
    </row>
    <row r="19" spans="1:10" ht="15">
      <c r="A19" s="693">
        <v>15</v>
      </c>
      <c r="B19" s="693" t="s">
        <v>855</v>
      </c>
      <c r="C19" s="693" t="s">
        <v>1344</v>
      </c>
      <c r="D19" s="695">
        <v>281.89</v>
      </c>
      <c r="E19" s="695">
        <v>0</v>
      </c>
      <c r="F19" s="695">
        <v>5</v>
      </c>
      <c r="G19" s="695">
        <v>2</v>
      </c>
      <c r="H19" s="695">
        <v>8</v>
      </c>
      <c r="I19" s="695">
        <f t="shared" si="2"/>
        <v>15</v>
      </c>
      <c r="J19" s="696">
        <f t="shared" si="3"/>
        <v>18.792666666666666</v>
      </c>
    </row>
    <row r="20" spans="1:10" ht="15">
      <c r="A20" s="693">
        <v>16</v>
      </c>
      <c r="B20" s="693" t="s">
        <v>2408</v>
      </c>
      <c r="C20" s="693" t="s">
        <v>1344</v>
      </c>
      <c r="D20" s="695">
        <v>281.89</v>
      </c>
      <c r="E20" s="695">
        <v>2</v>
      </c>
      <c r="F20" s="695">
        <v>5</v>
      </c>
      <c r="G20" s="695">
        <v>2</v>
      </c>
      <c r="H20" s="695">
        <v>8</v>
      </c>
      <c r="I20" s="695">
        <f t="shared" si="2"/>
        <v>17</v>
      </c>
      <c r="J20" s="696">
        <f t="shared" si="3"/>
        <v>16.581764705882353</v>
      </c>
    </row>
    <row r="21" spans="1:10" ht="15">
      <c r="A21" s="693">
        <v>17</v>
      </c>
      <c r="B21" s="693" t="s">
        <v>855</v>
      </c>
      <c r="C21" s="693" t="s">
        <v>1344</v>
      </c>
      <c r="D21" s="695">
        <v>281.89</v>
      </c>
      <c r="E21" s="695">
        <v>0</v>
      </c>
      <c r="F21" s="695">
        <v>5</v>
      </c>
      <c r="G21" s="695">
        <v>2</v>
      </c>
      <c r="H21" s="695">
        <v>8</v>
      </c>
      <c r="I21" s="695">
        <f t="shared" si="2"/>
        <v>15</v>
      </c>
      <c r="J21" s="696">
        <f t="shared" si="3"/>
        <v>18.792666666666666</v>
      </c>
    </row>
    <row r="22" spans="1:10" ht="15">
      <c r="A22" s="693">
        <v>18</v>
      </c>
      <c r="B22" s="693" t="s">
        <v>1117</v>
      </c>
      <c r="C22" s="693" t="s">
        <v>1344</v>
      </c>
      <c r="D22" s="695">
        <v>281.89</v>
      </c>
      <c r="E22" s="695">
        <v>1</v>
      </c>
      <c r="F22" s="695">
        <v>5</v>
      </c>
      <c r="G22" s="695">
        <v>2</v>
      </c>
      <c r="H22" s="695">
        <v>8</v>
      </c>
      <c r="I22" s="695">
        <f t="shared" si="2"/>
        <v>16</v>
      </c>
      <c r="J22" s="696">
        <f t="shared" si="3"/>
        <v>17.618125</v>
      </c>
    </row>
    <row r="23" spans="1:10" ht="15">
      <c r="A23" s="693">
        <v>19</v>
      </c>
      <c r="B23" s="693" t="s">
        <v>2409</v>
      </c>
      <c r="C23" s="693" t="s">
        <v>1344</v>
      </c>
      <c r="D23" s="695">
        <v>281.89</v>
      </c>
      <c r="E23" s="695">
        <v>1</v>
      </c>
      <c r="F23" s="695">
        <v>5</v>
      </c>
      <c r="G23" s="695">
        <v>2</v>
      </c>
      <c r="H23" s="695">
        <v>8</v>
      </c>
      <c r="I23" s="695">
        <f t="shared" si="2"/>
        <v>16</v>
      </c>
      <c r="J23" s="696">
        <f t="shared" si="3"/>
        <v>17.618125</v>
      </c>
    </row>
    <row r="24" spans="1:10" ht="15">
      <c r="A24" s="693">
        <v>20</v>
      </c>
      <c r="B24" s="693" t="s">
        <v>1447</v>
      </c>
      <c r="C24" s="693" t="s">
        <v>1344</v>
      </c>
      <c r="D24" s="695">
        <v>281.89</v>
      </c>
      <c r="E24" s="695">
        <v>4</v>
      </c>
      <c r="F24" s="695">
        <v>5</v>
      </c>
      <c r="G24" s="695">
        <v>2</v>
      </c>
      <c r="H24" s="695">
        <v>8</v>
      </c>
      <c r="I24" s="695">
        <f>E24+F24+G24+H24</f>
        <v>19</v>
      </c>
      <c r="J24" s="696">
        <f>D24/I24</f>
        <v>14.836315789473684</v>
      </c>
    </row>
    <row r="25" spans="1:10" ht="15">
      <c r="A25" s="693">
        <v>21</v>
      </c>
      <c r="B25" s="693" t="s">
        <v>855</v>
      </c>
      <c r="C25" s="693" t="s">
        <v>1344</v>
      </c>
      <c r="D25" s="695">
        <v>281.89</v>
      </c>
      <c r="E25" s="695">
        <v>0</v>
      </c>
      <c r="F25" s="695">
        <v>5</v>
      </c>
      <c r="G25" s="695">
        <v>2</v>
      </c>
      <c r="H25" s="695">
        <v>8</v>
      </c>
      <c r="I25" s="695">
        <f>E25+F25+G25+H25</f>
        <v>15</v>
      </c>
      <c r="J25" s="696">
        <f>D25/I25</f>
        <v>18.792666666666666</v>
      </c>
    </row>
    <row r="26" spans="1:10" ht="15">
      <c r="A26" s="693">
        <v>22</v>
      </c>
      <c r="B26" s="693" t="s">
        <v>2407</v>
      </c>
      <c r="C26" s="693" t="s">
        <v>1344</v>
      </c>
      <c r="D26" s="695">
        <v>281.89</v>
      </c>
      <c r="E26" s="695">
        <v>1</v>
      </c>
      <c r="F26" s="695">
        <v>5</v>
      </c>
      <c r="G26" s="695">
        <v>2</v>
      </c>
      <c r="H26" s="695">
        <v>8</v>
      </c>
      <c r="I26" s="695">
        <f>E26+F26+G26+H26</f>
        <v>16</v>
      </c>
      <c r="J26" s="696">
        <f>D26/I26</f>
        <v>17.618125</v>
      </c>
    </row>
  </sheetData>
  <sheetProtection/>
  <mergeCells count="7">
    <mergeCell ref="A1:J1"/>
    <mergeCell ref="A2:A3"/>
    <mergeCell ref="B2:B3"/>
    <mergeCell ref="C2:C3"/>
    <mergeCell ref="D2:D3"/>
    <mergeCell ref="E2:I2"/>
    <mergeCell ref="J2:J3"/>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73" r:id="rId1"/>
</worksheet>
</file>

<file path=xl/worksheets/sheet19.xml><?xml version="1.0" encoding="utf-8"?>
<worksheet xmlns="http://schemas.openxmlformats.org/spreadsheetml/2006/main" xmlns:r="http://schemas.openxmlformats.org/officeDocument/2006/relationships">
  <sheetPr>
    <tabColor indexed="10"/>
    <pageSetUpPr fitToPage="1"/>
  </sheetPr>
  <dimension ref="A1:K33"/>
  <sheetViews>
    <sheetView view="pageBreakPreview" zoomScaleSheetLayoutView="100" zoomScalePageLayoutView="0" workbookViewId="0" topLeftCell="A1">
      <selection activeCell="A26" sqref="A26:K26"/>
    </sheetView>
  </sheetViews>
  <sheetFormatPr defaultColWidth="9.00390625" defaultRowHeight="12.75"/>
  <cols>
    <col min="1" max="1" width="14.625" style="17" customWidth="1"/>
    <col min="2" max="2" width="8.75390625" style="14" customWidth="1"/>
    <col min="3" max="3" width="10.125" style="14" customWidth="1"/>
    <col min="4" max="4" width="8.75390625" style="14" customWidth="1"/>
    <col min="5" max="5" width="8.125" style="14" customWidth="1"/>
    <col min="6" max="6" width="11.25390625" style="14" bestFit="1" customWidth="1"/>
    <col min="7" max="7" width="9.125" style="14" customWidth="1"/>
    <col min="8" max="8" width="8.375" style="14" customWidth="1"/>
    <col min="9" max="9" width="10.125" style="14" bestFit="1" customWidth="1"/>
    <col min="10" max="10" width="8.875" style="14" customWidth="1"/>
    <col min="11" max="11" width="8.125" style="14" customWidth="1"/>
    <col min="12" max="16384" width="9.125" style="14" customWidth="1"/>
  </cols>
  <sheetData>
    <row r="1" spans="1:11" ht="36" customHeight="1">
      <c r="A1" s="1603" t="s">
        <v>41</v>
      </c>
      <c r="B1" s="1604"/>
      <c r="C1" s="1604"/>
      <c r="D1" s="1604"/>
      <c r="E1" s="1604"/>
      <c r="F1" s="1604"/>
      <c r="G1" s="1604"/>
      <c r="H1" s="1604"/>
      <c r="I1" s="1604"/>
      <c r="J1" s="1604"/>
      <c r="K1" s="1605"/>
    </row>
    <row r="2" spans="1:11" s="15" customFormat="1" ht="15">
      <c r="A2" s="1606" t="s">
        <v>42</v>
      </c>
      <c r="B2" s="1607"/>
      <c r="C2" s="1610">
        <v>2009</v>
      </c>
      <c r="D2" s="1611"/>
      <c r="E2" s="1612"/>
      <c r="F2" s="1611">
        <v>2010</v>
      </c>
      <c r="G2" s="1611"/>
      <c r="H2" s="1611"/>
      <c r="I2" s="1613">
        <v>2011</v>
      </c>
      <c r="J2" s="1614"/>
      <c r="K2" s="1615"/>
    </row>
    <row r="3" spans="1:11" ht="33.75" customHeight="1">
      <c r="A3" s="1608"/>
      <c r="B3" s="1609"/>
      <c r="C3" s="304" t="s">
        <v>1804</v>
      </c>
      <c r="D3" s="305" t="s">
        <v>1970</v>
      </c>
      <c r="E3" s="305" t="s">
        <v>2085</v>
      </c>
      <c r="F3" s="304" t="s">
        <v>1804</v>
      </c>
      <c r="G3" s="305" t="s">
        <v>1970</v>
      </c>
      <c r="H3" s="306" t="s">
        <v>2085</v>
      </c>
      <c r="I3" s="307" t="s">
        <v>1804</v>
      </c>
      <c r="J3" s="308" t="s">
        <v>1970</v>
      </c>
      <c r="K3" s="308" t="s">
        <v>2085</v>
      </c>
    </row>
    <row r="4" spans="1:11" ht="34.5" customHeight="1">
      <c r="A4" s="1596" t="s">
        <v>43</v>
      </c>
      <c r="B4" s="309" t="s">
        <v>1986</v>
      </c>
      <c r="C4" s="310">
        <v>1910.51</v>
      </c>
      <c r="D4" s="310"/>
      <c r="E4" s="311"/>
      <c r="F4" s="310">
        <v>2001.739</v>
      </c>
      <c r="G4" s="310"/>
      <c r="H4" s="312"/>
      <c r="I4" s="310">
        <v>2009.914</v>
      </c>
      <c r="J4" s="310"/>
      <c r="K4" s="312"/>
    </row>
    <row r="5" spans="1:11" ht="17.25" customHeight="1">
      <c r="A5" s="1597"/>
      <c r="B5" s="313" t="s">
        <v>1763</v>
      </c>
      <c r="C5" s="310">
        <v>1910.514</v>
      </c>
      <c r="D5" s="310"/>
      <c r="E5" s="311"/>
      <c r="F5" s="310">
        <v>2001.739</v>
      </c>
      <c r="G5" s="310"/>
      <c r="H5" s="312"/>
      <c r="I5" s="310">
        <v>2009.914</v>
      </c>
      <c r="J5" s="310"/>
      <c r="K5" s="312"/>
    </row>
    <row r="6" spans="1:11" ht="18.75" customHeight="1">
      <c r="A6" s="1598"/>
      <c r="B6" s="313" t="s">
        <v>1764</v>
      </c>
      <c r="C6" s="310">
        <v>1532.968</v>
      </c>
      <c r="D6" s="310"/>
      <c r="E6" s="311"/>
      <c r="F6" s="310">
        <v>1636.622</v>
      </c>
      <c r="G6" s="310"/>
      <c r="H6" s="312"/>
      <c r="I6" s="310">
        <v>1660.421</v>
      </c>
      <c r="J6" s="310"/>
      <c r="K6" s="312"/>
    </row>
    <row r="7" spans="1:11" ht="34.5" customHeight="1">
      <c r="A7" s="1596" t="s">
        <v>44</v>
      </c>
      <c r="B7" s="309" t="s">
        <v>1986</v>
      </c>
      <c r="C7" s="310">
        <f>SUM(C8:C9)</f>
        <v>309.305</v>
      </c>
      <c r="D7" s="310"/>
      <c r="E7" s="311"/>
      <c r="F7" s="310">
        <f>SUM(F8:F9)</f>
        <v>346.081</v>
      </c>
      <c r="G7" s="310"/>
      <c r="H7" s="312"/>
      <c r="I7" s="310">
        <f>SUM(I8:I9)</f>
        <v>346.081</v>
      </c>
      <c r="J7" s="310"/>
      <c r="K7" s="312"/>
    </row>
    <row r="8" spans="1:11" ht="17.25" customHeight="1">
      <c r="A8" s="1597"/>
      <c r="B8" s="313" t="s">
        <v>1763</v>
      </c>
      <c r="C8" s="310">
        <v>127.146</v>
      </c>
      <c r="D8" s="310">
        <v>53.62</v>
      </c>
      <c r="E8" s="311">
        <f>IF(C5=0,0,C8/C5)</f>
        <v>0.06655067693824804</v>
      </c>
      <c r="F8" s="310">
        <v>125.697</v>
      </c>
      <c r="G8" s="310">
        <v>64.1</v>
      </c>
      <c r="H8" s="312">
        <f>IF(F5=0,0,F8/F5)</f>
        <v>0.06279390070333844</v>
      </c>
      <c r="I8" s="310">
        <v>125.697</v>
      </c>
      <c r="J8" s="310">
        <v>76.45519273999999</v>
      </c>
      <c r="K8" s="312">
        <f>IF(I5=0,0,I8/I5)</f>
        <v>0.06253849667199692</v>
      </c>
    </row>
    <row r="9" spans="1:11" ht="17.25" customHeight="1">
      <c r="A9" s="1598"/>
      <c r="B9" s="313" t="s">
        <v>1764</v>
      </c>
      <c r="C9" s="310">
        <v>182.159</v>
      </c>
      <c r="D9" s="310">
        <v>76.77</v>
      </c>
      <c r="E9" s="311">
        <f>IF(C6=0,0,C9/C6)</f>
        <v>0.11882765980764111</v>
      </c>
      <c r="F9" s="310">
        <v>220.384</v>
      </c>
      <c r="G9" s="310">
        <v>99.405</v>
      </c>
      <c r="H9" s="312">
        <f>IF(F6=0,0,F9/F6)</f>
        <v>0.13465785013277345</v>
      </c>
      <c r="I9" s="310">
        <v>220.384</v>
      </c>
      <c r="J9" s="310">
        <v>134.09246897999998</v>
      </c>
      <c r="K9" s="312">
        <f>IF(I6=0,0,I9/I6)</f>
        <v>0.13272778409812933</v>
      </c>
    </row>
    <row r="10" spans="1:11" ht="33" customHeight="1">
      <c r="A10" s="1600" t="s">
        <v>45</v>
      </c>
      <c r="B10" s="309" t="s">
        <v>1986</v>
      </c>
      <c r="C10" s="310">
        <f>SUM(C11:C12)</f>
        <v>-19.063</v>
      </c>
      <c r="D10" s="310">
        <f>SUM(D11:D12)</f>
        <v>-7.959</v>
      </c>
      <c r="E10" s="311">
        <f>IF(C4=0,0,C10/C4)</f>
        <v>-0.00997796399914159</v>
      </c>
      <c r="F10" s="310">
        <f>SUM(F11:F12)</f>
        <v>-21.52</v>
      </c>
      <c r="G10" s="310">
        <f>SUM(G11:G12)</f>
        <v>-10.741000000000001</v>
      </c>
      <c r="H10" s="312">
        <f>IF(F4=0,0,F10/F4)</f>
        <v>-0.010750652307818352</v>
      </c>
      <c r="I10" s="310">
        <f>SUM(I11:I12)</f>
        <v>-41.399</v>
      </c>
      <c r="J10" s="310">
        <f>SUM(J11:J12)</f>
        <v>-25.36371485</v>
      </c>
      <c r="K10" s="312">
        <f>IF(I4=0,0,I10/I4)</f>
        <v>-0.02059739869467052</v>
      </c>
    </row>
    <row r="11" spans="1:11" ht="12.75" customHeight="1">
      <c r="A11" s="1600"/>
      <c r="B11" s="313" t="s">
        <v>1763</v>
      </c>
      <c r="C11" s="310">
        <v>-1.462</v>
      </c>
      <c r="D11" s="310">
        <v>-0.619</v>
      </c>
      <c r="E11" s="311">
        <f>IF(C5=0,0,C11/C5)</f>
        <v>-0.0007652390927258319</v>
      </c>
      <c r="F11" s="310">
        <v>-0.745</v>
      </c>
      <c r="G11" s="310">
        <v>-0.316</v>
      </c>
      <c r="H11" s="312">
        <f>IF(F5=0,0,F11/F5)</f>
        <v>-0.0003721763926266112</v>
      </c>
      <c r="I11" s="310">
        <v>0.589</v>
      </c>
      <c r="J11" s="310">
        <v>0.3480452000000001</v>
      </c>
      <c r="K11" s="312">
        <f>IF(I5=0,0,I11/I5)</f>
        <v>0.0002930473642155833</v>
      </c>
    </row>
    <row r="12" spans="1:11" ht="14.25" customHeight="1">
      <c r="A12" s="1600"/>
      <c r="B12" s="313" t="s">
        <v>1764</v>
      </c>
      <c r="C12" s="310">
        <v>-17.601</v>
      </c>
      <c r="D12" s="310">
        <v>-7.34</v>
      </c>
      <c r="E12" s="311">
        <f>IF(C6=0,0,C12/C6)</f>
        <v>-0.011481648671074672</v>
      </c>
      <c r="F12" s="310">
        <v>-20.775</v>
      </c>
      <c r="G12" s="310">
        <v>-10.425</v>
      </c>
      <c r="H12" s="312">
        <f>IF(F6=0,0,F12/F6)</f>
        <v>-0.012693829118758026</v>
      </c>
      <c r="I12" s="310">
        <v>-41.988</v>
      </c>
      <c r="J12" s="310">
        <v>-25.711760050000002</v>
      </c>
      <c r="K12" s="312">
        <f>IF(I6=0,0,I12/I6)</f>
        <v>-0.025287562612132705</v>
      </c>
    </row>
    <row r="13" spans="1:11" ht="14.25" customHeight="1">
      <c r="A13" s="314"/>
      <c r="B13" s="315"/>
      <c r="C13" s="315"/>
      <c r="D13" s="315"/>
      <c r="E13" s="315"/>
      <c r="F13" s="315"/>
      <c r="G13" s="315"/>
      <c r="H13" s="315"/>
      <c r="I13" s="316"/>
      <c r="J13" s="316"/>
      <c r="K13" s="316"/>
    </row>
    <row r="14" spans="1:11" s="15" customFormat="1" ht="15">
      <c r="A14" s="1600" t="s">
        <v>42</v>
      </c>
      <c r="B14" s="1600"/>
      <c r="C14" s="1601">
        <v>2012</v>
      </c>
      <c r="D14" s="1601"/>
      <c r="E14" s="1601"/>
      <c r="F14" s="1601">
        <v>2013</v>
      </c>
      <c r="G14" s="1601"/>
      <c r="H14" s="1601"/>
      <c r="I14" s="1602">
        <v>2014</v>
      </c>
      <c r="J14" s="1602"/>
      <c r="K14" s="1602"/>
    </row>
    <row r="15" spans="1:11" ht="33.75" customHeight="1">
      <c r="A15" s="1600"/>
      <c r="B15" s="1600"/>
      <c r="C15" s="304" t="s">
        <v>1804</v>
      </c>
      <c r="D15" s="305" t="s">
        <v>1970</v>
      </c>
      <c r="E15" s="305" t="s">
        <v>2085</v>
      </c>
      <c r="F15" s="304" t="s">
        <v>1804</v>
      </c>
      <c r="G15" s="305" t="s">
        <v>1970</v>
      </c>
      <c r="H15" s="305" t="s">
        <v>2085</v>
      </c>
      <c r="I15" s="304" t="s">
        <v>1804</v>
      </c>
      <c r="J15" s="305" t="s">
        <v>1970</v>
      </c>
      <c r="K15" s="305" t="s">
        <v>2085</v>
      </c>
    </row>
    <row r="16" spans="1:11" ht="33" customHeight="1">
      <c r="A16" s="1596" t="s">
        <v>43</v>
      </c>
      <c r="B16" s="309" t="s">
        <v>1986</v>
      </c>
      <c r="C16" s="310">
        <f>C17</f>
        <v>2090.71</v>
      </c>
      <c r="D16" s="310"/>
      <c r="E16" s="312"/>
      <c r="F16" s="310">
        <f>F17</f>
        <v>2117.313</v>
      </c>
      <c r="G16" s="310"/>
      <c r="H16" s="312"/>
      <c r="I16" s="310">
        <f>I17</f>
        <v>2156.89</v>
      </c>
      <c r="J16" s="310"/>
      <c r="K16" s="312"/>
    </row>
    <row r="17" spans="1:11" ht="18.75" customHeight="1">
      <c r="A17" s="1597"/>
      <c r="B17" s="313" t="s">
        <v>1763</v>
      </c>
      <c r="C17" s="310">
        <v>2090.71</v>
      </c>
      <c r="D17" s="310"/>
      <c r="E17" s="312"/>
      <c r="F17" s="310">
        <v>2117.313</v>
      </c>
      <c r="G17" s="310"/>
      <c r="H17" s="312"/>
      <c r="I17" s="310">
        <v>2156.89</v>
      </c>
      <c r="J17" s="310"/>
      <c r="K17" s="312"/>
    </row>
    <row r="18" spans="1:11" ht="19.5" customHeight="1">
      <c r="A18" s="1598"/>
      <c r="B18" s="313" t="s">
        <v>1764</v>
      </c>
      <c r="C18" s="310">
        <v>1711.074</v>
      </c>
      <c r="D18" s="310"/>
      <c r="E18" s="312"/>
      <c r="F18" s="310">
        <v>1744.723</v>
      </c>
      <c r="G18" s="310"/>
      <c r="H18" s="312"/>
      <c r="I18" s="310">
        <v>1748.686</v>
      </c>
      <c r="J18" s="310"/>
      <c r="K18" s="312"/>
    </row>
    <row r="19" spans="1:11" ht="31.5" customHeight="1">
      <c r="A19" s="1596" t="s">
        <v>44</v>
      </c>
      <c r="B19" s="309" t="s">
        <v>1986</v>
      </c>
      <c r="C19" s="310">
        <f>SUM(C20:C21)</f>
        <v>357.504</v>
      </c>
      <c r="D19" s="310"/>
      <c r="E19" s="312"/>
      <c r="F19" s="310">
        <f>SUM(F20:F21)</f>
        <v>349.877</v>
      </c>
      <c r="G19" s="310"/>
      <c r="H19" s="312"/>
      <c r="I19" s="310">
        <f>SUM(I20:I21)</f>
        <v>344.15000000000003</v>
      </c>
      <c r="J19" s="310"/>
      <c r="K19" s="312"/>
    </row>
    <row r="20" spans="1:11" ht="17.25" customHeight="1">
      <c r="A20" s="1597"/>
      <c r="B20" s="313" t="s">
        <v>1763</v>
      </c>
      <c r="C20" s="310">
        <v>131.861</v>
      </c>
      <c r="D20" s="310">
        <v>93.02808185</v>
      </c>
      <c r="E20" s="312">
        <f>IF(C17=0,0,C20/C17)</f>
        <v>0.06306996187897891</v>
      </c>
      <c r="F20" s="310">
        <v>127.843</v>
      </c>
      <c r="G20" s="310">
        <v>98.56430352000001</v>
      </c>
      <c r="H20" s="312">
        <f>IF(F17=0,0,F20/F17)</f>
        <v>0.0603798304738128</v>
      </c>
      <c r="I20" s="310">
        <v>124.802</v>
      </c>
      <c r="J20" s="310">
        <v>109.79</v>
      </c>
      <c r="K20" s="312">
        <f>IF(I17=0,0,I20/I17)</f>
        <v>0.05786201428909217</v>
      </c>
    </row>
    <row r="21" spans="1:11" ht="19.5" customHeight="1">
      <c r="A21" s="1598"/>
      <c r="B21" s="313" t="s">
        <v>1764</v>
      </c>
      <c r="C21" s="310">
        <v>225.643</v>
      </c>
      <c r="D21" s="310">
        <v>159.11941929000002</v>
      </c>
      <c r="E21" s="312">
        <f>IF(C18=0,0,C21/C18)</f>
        <v>0.1318721457984868</v>
      </c>
      <c r="F21" s="310">
        <v>222.034</v>
      </c>
      <c r="G21" s="310">
        <v>168.92598848000003</v>
      </c>
      <c r="H21" s="312">
        <f>IF(F18=0,0,F21/F18)</f>
        <v>0.1272603158209068</v>
      </c>
      <c r="I21" s="310">
        <v>219.348</v>
      </c>
      <c r="J21" s="310">
        <v>193.585</v>
      </c>
      <c r="K21" s="312">
        <f>IF(I18=0,0,I21/I18)</f>
        <v>0.1254358987262436</v>
      </c>
    </row>
    <row r="22" spans="1:11" ht="28.5" customHeight="1">
      <c r="A22" s="1596" t="s">
        <v>45</v>
      </c>
      <c r="B22" s="309" t="s">
        <v>1986</v>
      </c>
      <c r="C22" s="310">
        <f>SUM(C23:C24)</f>
        <v>-41.565</v>
      </c>
      <c r="D22" s="310">
        <f>SUM(D23:D24)</f>
        <v>-29.53140532</v>
      </c>
      <c r="E22" s="312">
        <f>IF(C16=0,0,C22/C16)</f>
        <v>-0.019880806041966605</v>
      </c>
      <c r="F22" s="310">
        <f>SUM(F23:F24)</f>
        <v>-41.248</v>
      </c>
      <c r="G22" s="310">
        <f>SUM(G23:G24)</f>
        <v>-31.71</v>
      </c>
      <c r="H22" s="312">
        <f>IF(F16=0,0,F22/F16)</f>
        <v>-0.01948129539657103</v>
      </c>
      <c r="I22" s="310">
        <f>SUM(I23:I24)</f>
        <v>-45.543000000000006</v>
      </c>
      <c r="J22" s="310">
        <v>-38.124610929999996</v>
      </c>
      <c r="K22" s="312">
        <f>IF(I16=0,0,I22/I16)</f>
        <v>-0.021115124090704675</v>
      </c>
    </row>
    <row r="23" spans="1:11" ht="12.75" customHeight="1">
      <c r="A23" s="1597"/>
      <c r="B23" s="313" t="s">
        <v>1763</v>
      </c>
      <c r="C23" s="310">
        <v>-0.765</v>
      </c>
      <c r="D23" s="310">
        <v>-0.5476545599999999</v>
      </c>
      <c r="E23" s="312">
        <f>IF(C17=0,0,C23/C17)</f>
        <v>-0.00036590440568036697</v>
      </c>
      <c r="F23" s="310">
        <v>0.048</v>
      </c>
      <c r="G23" s="310">
        <v>0.02</v>
      </c>
      <c r="H23" s="312">
        <f>IF(F17=0,0,F23/F17)</f>
        <v>2.2670242897483744E-05</v>
      </c>
      <c r="I23" s="310">
        <v>-0.334</v>
      </c>
      <c r="J23" s="310">
        <v>-0.079</v>
      </c>
      <c r="K23" s="312">
        <f>IF(I17=0,0,I23/I17)</f>
        <v>-0.00015485258868092486</v>
      </c>
    </row>
    <row r="24" spans="1:11" ht="13.5" customHeight="1">
      <c r="A24" s="1598"/>
      <c r="B24" s="313" t="s">
        <v>1764</v>
      </c>
      <c r="C24" s="310">
        <v>-40.8</v>
      </c>
      <c r="D24" s="310">
        <v>-28.98375076</v>
      </c>
      <c r="E24" s="312">
        <f>IF(C18=0,0,C24/C18)</f>
        <v>-0.023844672994855858</v>
      </c>
      <c r="F24" s="310">
        <v>-41.296</v>
      </c>
      <c r="G24" s="310">
        <v>-31.73</v>
      </c>
      <c r="H24" s="312">
        <f>IF(F18=0,0,F24/F18)</f>
        <v>-0.02366908672608775</v>
      </c>
      <c r="I24" s="310">
        <v>-45.209</v>
      </c>
      <c r="J24" s="310">
        <v>47.41</v>
      </c>
      <c r="K24" s="312">
        <f>IF(I18=0,0,I24/I18)</f>
        <v>-0.025853126290254515</v>
      </c>
    </row>
    <row r="25" spans="1:11" ht="15">
      <c r="A25" s="1599"/>
      <c r="B25" s="1599"/>
      <c r="C25" s="1599"/>
      <c r="D25" s="1599"/>
      <c r="E25" s="1599"/>
      <c r="F25" s="1599"/>
      <c r="G25" s="1599"/>
      <c r="H25" s="1599"/>
      <c r="I25" s="317"/>
      <c r="J25" s="317"/>
      <c r="K25" s="317"/>
    </row>
    <row r="26" spans="1:11" ht="84" customHeight="1">
      <c r="A26" s="1595" t="s">
        <v>46</v>
      </c>
      <c r="B26" s="1595"/>
      <c r="C26" s="1595"/>
      <c r="D26" s="1595"/>
      <c r="E26" s="1595"/>
      <c r="F26" s="1595"/>
      <c r="G26" s="1595"/>
      <c r="H26" s="1595"/>
      <c r="I26" s="1595"/>
      <c r="J26" s="1595"/>
      <c r="K26" s="1595"/>
    </row>
    <row r="27" spans="1:11" ht="14.25" customHeight="1">
      <c r="A27" s="318"/>
      <c r="B27" s="318"/>
      <c r="C27" s="318"/>
      <c r="D27" s="318"/>
      <c r="E27" s="318"/>
      <c r="F27" s="318"/>
      <c r="G27" s="318"/>
      <c r="H27" s="318"/>
      <c r="I27" s="318"/>
      <c r="J27" s="318"/>
      <c r="K27" s="318"/>
    </row>
    <row r="28" spans="1:11" ht="24" customHeight="1">
      <c r="A28" s="1595" t="s">
        <v>47</v>
      </c>
      <c r="B28" s="1595"/>
      <c r="C28" s="1595"/>
      <c r="D28" s="1595"/>
      <c r="E28" s="1595"/>
      <c r="F28" s="1595"/>
      <c r="G28" s="1595"/>
      <c r="H28" s="1595"/>
      <c r="I28" s="1595"/>
      <c r="J28" s="1595"/>
      <c r="K28" s="1595"/>
    </row>
    <row r="29" spans="1:8" ht="12.75" customHeight="1">
      <c r="A29" s="102"/>
      <c r="B29" s="102"/>
      <c r="C29" s="102"/>
      <c r="D29" s="102"/>
      <c r="E29" s="102"/>
      <c r="F29" s="102"/>
      <c r="G29" s="102"/>
      <c r="H29" s="102"/>
    </row>
    <row r="30" spans="1:8" ht="12.75" customHeight="1">
      <c r="A30" s="102"/>
      <c r="B30" s="102"/>
      <c r="C30" s="102"/>
      <c r="D30" s="102"/>
      <c r="E30" s="102"/>
      <c r="F30" s="102"/>
      <c r="G30" s="102"/>
      <c r="H30" s="102"/>
    </row>
    <row r="31" spans="1:8" ht="12.75" customHeight="1">
      <c r="A31" s="102"/>
      <c r="B31" s="102"/>
      <c r="C31" s="102"/>
      <c r="D31" s="102"/>
      <c r="E31" s="102"/>
      <c r="F31" s="102"/>
      <c r="G31" s="102"/>
      <c r="H31" s="102"/>
    </row>
    <row r="32" spans="1:8" ht="12.75" customHeight="1">
      <c r="A32" s="102"/>
      <c r="B32" s="102"/>
      <c r="C32" s="102"/>
      <c r="D32" s="102"/>
      <c r="E32" s="102"/>
      <c r="F32" s="102"/>
      <c r="G32" s="102"/>
      <c r="H32" s="102"/>
    </row>
    <row r="33" spans="1:8" ht="12.75">
      <c r="A33" s="48"/>
      <c r="B33" s="70"/>
      <c r="C33" s="32"/>
      <c r="D33" s="33"/>
      <c r="E33" s="49"/>
      <c r="F33" s="32"/>
      <c r="G33" s="33"/>
      <c r="H33" s="49"/>
    </row>
  </sheetData>
  <sheetProtection/>
  <mergeCells count="19">
    <mergeCell ref="A1:K1"/>
    <mergeCell ref="A2:B3"/>
    <mergeCell ref="C2:E2"/>
    <mergeCell ref="F2:H2"/>
    <mergeCell ref="I2:K2"/>
    <mergeCell ref="A4:A6"/>
    <mergeCell ref="A7:A9"/>
    <mergeCell ref="A10:A12"/>
    <mergeCell ref="A14:B15"/>
    <mergeCell ref="C14:E14"/>
    <mergeCell ref="F14:H14"/>
    <mergeCell ref="I14:K14"/>
    <mergeCell ref="A28:K28"/>
    <mergeCell ref="A16:A18"/>
    <mergeCell ref="A19:A21"/>
    <mergeCell ref="A22:A24"/>
    <mergeCell ref="A25:E25"/>
    <mergeCell ref="F25:H25"/>
    <mergeCell ref="A26:K26"/>
  </mergeCells>
  <printOptions/>
  <pageMargins left="0.5905511811023623" right="0.1968503937007874" top="0.6692913385826772" bottom="0.3937007874015748" header="0.2755905511811024" footer="0.3937007874015748"/>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M28"/>
  <sheetViews>
    <sheetView view="pageBreakPreview" zoomScaleSheetLayoutView="100" zoomScalePageLayoutView="0" workbookViewId="0" topLeftCell="A1">
      <selection activeCell="A1" sqref="A1:M18"/>
    </sheetView>
  </sheetViews>
  <sheetFormatPr defaultColWidth="9.00390625" defaultRowHeight="12.75" outlineLevelRow="1"/>
  <cols>
    <col min="1" max="1" width="4.625" style="41" customWidth="1"/>
    <col min="2" max="2" width="18.75390625" style="41" customWidth="1"/>
    <col min="3" max="3" width="12.375" style="41" customWidth="1"/>
    <col min="4" max="4" width="14.375" style="41" customWidth="1"/>
    <col min="5" max="5" width="20.125" style="41" customWidth="1"/>
    <col min="6" max="6" width="19.00390625" style="41" customWidth="1"/>
    <col min="7" max="7" width="21.875" style="41" customWidth="1"/>
    <col min="8" max="8" width="19.625" style="41" customWidth="1"/>
    <col min="9" max="9" width="18.125" style="41" customWidth="1"/>
    <col min="10" max="10" width="19.125" style="41" customWidth="1"/>
    <col min="11" max="11" width="17.125" style="41" customWidth="1"/>
    <col min="12" max="12" width="14.125" style="41" customWidth="1"/>
    <col min="13" max="13" width="14.875" style="41" customWidth="1"/>
    <col min="14" max="14" width="13.75390625" style="41" customWidth="1"/>
    <col min="15" max="16384" width="9.125" style="41" customWidth="1"/>
  </cols>
  <sheetData>
    <row r="1" spans="1:13" ht="16.5" customHeight="1">
      <c r="A1" s="1423" t="s">
        <v>1730</v>
      </c>
      <c r="B1" s="1423"/>
      <c r="C1" s="1423"/>
      <c r="D1" s="1423"/>
      <c r="E1" s="1423"/>
      <c r="F1" s="1423"/>
      <c r="G1" s="1423"/>
      <c r="H1" s="1423"/>
      <c r="I1" s="1423"/>
      <c r="J1" s="1423"/>
      <c r="K1" s="1423"/>
      <c r="L1" s="1423"/>
      <c r="M1" s="1423"/>
    </row>
    <row r="2" spans="1:13" s="42" customFormat="1" ht="105">
      <c r="A2" s="326" t="s">
        <v>2082</v>
      </c>
      <c r="B2" s="326" t="s">
        <v>1797</v>
      </c>
      <c r="C2" s="326" t="s">
        <v>1726</v>
      </c>
      <c r="D2" s="326" t="s">
        <v>2157</v>
      </c>
      <c r="E2" s="326" t="s">
        <v>440</v>
      </c>
      <c r="F2" s="327" t="s">
        <v>441</v>
      </c>
      <c r="G2" s="326" t="s">
        <v>442</v>
      </c>
      <c r="H2" s="326" t="s">
        <v>443</v>
      </c>
      <c r="I2" s="326" t="s">
        <v>444</v>
      </c>
      <c r="J2" s="327" t="s">
        <v>445</v>
      </c>
      <c r="K2" s="326" t="s">
        <v>1990</v>
      </c>
      <c r="L2" s="326" t="s">
        <v>2102</v>
      </c>
      <c r="M2" s="326" t="s">
        <v>1798</v>
      </c>
    </row>
    <row r="3" spans="1:13" s="43" customFormat="1" ht="15">
      <c r="A3" s="328">
        <v>1</v>
      </c>
      <c r="B3" s="329">
        <v>2</v>
      </c>
      <c r="C3" s="329">
        <v>3</v>
      </c>
      <c r="D3" s="329">
        <v>4</v>
      </c>
      <c r="E3" s="329">
        <v>5</v>
      </c>
      <c r="F3" s="329">
        <v>6</v>
      </c>
      <c r="G3" s="329">
        <v>7</v>
      </c>
      <c r="H3" s="329">
        <v>8</v>
      </c>
      <c r="I3" s="329" t="s">
        <v>2118</v>
      </c>
      <c r="J3" s="329">
        <v>10</v>
      </c>
      <c r="K3" s="329">
        <v>11</v>
      </c>
      <c r="L3" s="329">
        <v>12</v>
      </c>
      <c r="M3" s="329">
        <v>13</v>
      </c>
    </row>
    <row r="4" spans="1:13" s="42" customFormat="1" ht="30">
      <c r="A4" s="329" t="s">
        <v>196</v>
      </c>
      <c r="B4" s="330" t="s">
        <v>826</v>
      </c>
      <c r="C4" s="329">
        <v>2008</v>
      </c>
      <c r="D4" s="331">
        <f>16319/1.2</f>
        <v>13599.166666666668</v>
      </c>
      <c r="E4" s="331">
        <f>12038/1.2</f>
        <v>10031.666666666668</v>
      </c>
      <c r="F4" s="332" t="s">
        <v>370</v>
      </c>
      <c r="G4" s="331">
        <f>12038/1.2</f>
        <v>10031.666666666668</v>
      </c>
      <c r="H4" s="331">
        <f>4790/1.2</f>
        <v>3991.666666666667</v>
      </c>
      <c r="I4" s="331">
        <f>4281/1.2</f>
        <v>3567.5</v>
      </c>
      <c r="J4" s="332" t="s">
        <v>370</v>
      </c>
      <c r="K4" s="329" t="s">
        <v>827</v>
      </c>
      <c r="L4" s="329" t="s">
        <v>828</v>
      </c>
      <c r="M4" s="329" t="s">
        <v>829</v>
      </c>
    </row>
    <row r="5" spans="1:13" s="42" customFormat="1" ht="16.5" customHeight="1">
      <c r="A5" s="1426" t="s">
        <v>1681</v>
      </c>
      <c r="B5" s="1426"/>
      <c r="C5" s="333" t="s">
        <v>370</v>
      </c>
      <c r="D5" s="331">
        <f>SUM(D4:D4)</f>
        <v>13599.166666666668</v>
      </c>
      <c r="E5" s="331">
        <f>SUM(E4:E4)</f>
        <v>10031.666666666668</v>
      </c>
      <c r="F5" s="333" t="s">
        <v>370</v>
      </c>
      <c r="G5" s="331">
        <f>SUM(G4:G4)</f>
        <v>10031.666666666668</v>
      </c>
      <c r="H5" s="331">
        <f>SUM(H4:H4)</f>
        <v>3991.666666666667</v>
      </c>
      <c r="I5" s="331">
        <f>SUM(I4:I4)</f>
        <v>3567.5</v>
      </c>
      <c r="J5" s="333" t="s">
        <v>370</v>
      </c>
      <c r="K5" s="333" t="s">
        <v>370</v>
      </c>
      <c r="L5" s="333" t="s">
        <v>370</v>
      </c>
      <c r="M5" s="333" t="s">
        <v>370</v>
      </c>
    </row>
    <row r="6" spans="1:13" ht="15.75" customHeight="1">
      <c r="A6" s="334"/>
      <c r="B6" s="334"/>
      <c r="C6" s="334"/>
      <c r="D6" s="334"/>
      <c r="E6" s="334"/>
      <c r="F6" s="334"/>
      <c r="G6" s="334"/>
      <c r="H6" s="334"/>
      <c r="I6" s="334"/>
      <c r="J6" s="334"/>
      <c r="K6" s="334"/>
      <c r="L6" s="334"/>
      <c r="M6" s="334"/>
    </row>
    <row r="7" spans="1:13" ht="15.75" customHeight="1">
      <c r="A7" s="334"/>
      <c r="B7" s="334"/>
      <c r="C7" s="334"/>
      <c r="D7" s="334"/>
      <c r="E7" s="334"/>
      <c r="F7" s="334"/>
      <c r="G7" s="334"/>
      <c r="H7" s="334"/>
      <c r="I7" s="334"/>
      <c r="J7" s="334"/>
      <c r="K7" s="334"/>
      <c r="L7" s="334"/>
      <c r="M7" s="334"/>
    </row>
    <row r="8" spans="1:13" ht="15.75" customHeight="1">
      <c r="A8" s="334"/>
      <c r="B8" s="334"/>
      <c r="C8" s="334"/>
      <c r="D8" s="334"/>
      <c r="E8" s="334"/>
      <c r="F8" s="334"/>
      <c r="G8" s="334"/>
      <c r="H8" s="334"/>
      <c r="I8" s="334"/>
      <c r="J8" s="334"/>
      <c r="K8" s="334"/>
      <c r="L8" s="334"/>
      <c r="M8" s="334"/>
    </row>
    <row r="9" spans="1:13" ht="15.75" customHeight="1">
      <c r="A9" s="334"/>
      <c r="B9" s="334"/>
      <c r="C9" s="334"/>
      <c r="D9" s="334"/>
      <c r="E9" s="334"/>
      <c r="F9" s="334"/>
      <c r="G9" s="334"/>
      <c r="H9" s="334"/>
      <c r="I9" s="334"/>
      <c r="J9" s="334"/>
      <c r="K9" s="334"/>
      <c r="L9" s="334"/>
      <c r="M9" s="334"/>
    </row>
    <row r="10" spans="1:13" s="42" customFormat="1" ht="15">
      <c r="A10" s="335"/>
      <c r="B10" s="335"/>
      <c r="C10" s="334"/>
      <c r="D10" s="336"/>
      <c r="E10" s="336"/>
      <c r="F10" s="336"/>
      <c r="G10" s="336"/>
      <c r="H10" s="336"/>
      <c r="I10" s="337"/>
      <c r="J10" s="336"/>
      <c r="K10" s="336"/>
      <c r="L10" s="334"/>
      <c r="M10" s="334"/>
    </row>
    <row r="11" spans="1:13" s="43" customFormat="1" ht="18" customHeight="1">
      <c r="A11" s="334"/>
      <c r="B11" s="334"/>
      <c r="C11" s="334"/>
      <c r="D11" s="335" t="s">
        <v>2243</v>
      </c>
      <c r="E11" s="335"/>
      <c r="F11" s="334"/>
      <c r="G11" s="334"/>
      <c r="H11" s="336" t="s">
        <v>1991</v>
      </c>
      <c r="I11" s="336"/>
      <c r="J11" s="336"/>
      <c r="K11" s="337" t="s">
        <v>2242</v>
      </c>
      <c r="L11" s="334"/>
      <c r="M11" s="334"/>
    </row>
    <row r="12" spans="1:13" s="42" customFormat="1" ht="15">
      <c r="A12" s="338"/>
      <c r="B12" s="338"/>
      <c r="C12" s="338"/>
      <c r="D12" s="339"/>
      <c r="E12" s="339"/>
      <c r="F12" s="334"/>
      <c r="G12" s="334"/>
      <c r="H12" s="336" t="s">
        <v>1992</v>
      </c>
      <c r="I12" s="336"/>
      <c r="J12" s="336"/>
      <c r="K12" s="336" t="s">
        <v>1675</v>
      </c>
      <c r="L12" s="334"/>
      <c r="M12" s="334"/>
    </row>
    <row r="13" spans="1:13" s="42" customFormat="1" ht="15">
      <c r="A13" s="338"/>
      <c r="B13" s="338"/>
      <c r="C13" s="338"/>
      <c r="D13" s="339"/>
      <c r="E13" s="339"/>
      <c r="F13" s="334"/>
      <c r="G13" s="334"/>
      <c r="H13" s="336"/>
      <c r="I13" s="336"/>
      <c r="J13" s="336"/>
      <c r="K13" s="336"/>
      <c r="L13" s="334"/>
      <c r="M13" s="334"/>
    </row>
    <row r="14" spans="1:13" s="42" customFormat="1" ht="15" outlineLevel="1">
      <c r="A14" s="338"/>
      <c r="B14" s="338"/>
      <c r="C14" s="338"/>
      <c r="D14" s="340" t="s">
        <v>2078</v>
      </c>
      <c r="E14" s="339"/>
      <c r="F14" s="334"/>
      <c r="G14" s="334"/>
      <c r="H14" s="336" t="s">
        <v>1991</v>
      </c>
      <c r="I14" s="336"/>
      <c r="J14" s="336"/>
      <c r="K14" s="337" t="s">
        <v>435</v>
      </c>
      <c r="L14" s="334"/>
      <c r="M14" s="334"/>
    </row>
    <row r="15" spans="1:13" s="42" customFormat="1" ht="15" outlineLevel="1">
      <c r="A15" s="338"/>
      <c r="B15" s="338"/>
      <c r="C15" s="338"/>
      <c r="D15" s="339"/>
      <c r="E15" s="339"/>
      <c r="F15" s="334"/>
      <c r="G15" s="334"/>
      <c r="H15" s="336" t="s">
        <v>1992</v>
      </c>
      <c r="I15" s="336"/>
      <c r="J15" s="336"/>
      <c r="K15" s="336" t="s">
        <v>1675</v>
      </c>
      <c r="L15" s="334"/>
      <c r="M15" s="334"/>
    </row>
    <row r="16" spans="1:13" s="42" customFormat="1" ht="15">
      <c r="A16" s="341"/>
      <c r="B16" s="341"/>
      <c r="C16" s="342"/>
      <c r="D16" s="1424" t="s">
        <v>148</v>
      </c>
      <c r="E16" s="1424"/>
      <c r="F16" s="1424"/>
      <c r="G16" s="1424"/>
      <c r="H16" s="344"/>
      <c r="I16" s="336"/>
      <c r="J16" s="334"/>
      <c r="K16" s="334"/>
      <c r="L16" s="334"/>
      <c r="M16" s="334"/>
    </row>
    <row r="17" spans="1:13" s="42" customFormat="1" ht="15">
      <c r="A17" s="345"/>
      <c r="B17" s="345"/>
      <c r="C17" s="342"/>
      <c r="D17" s="342"/>
      <c r="E17" s="346"/>
      <c r="F17" s="346"/>
      <c r="G17" s="346"/>
      <c r="H17" s="346"/>
      <c r="I17" s="336"/>
      <c r="J17" s="334"/>
      <c r="K17" s="334"/>
      <c r="L17" s="334"/>
      <c r="M17" s="334"/>
    </row>
    <row r="18" spans="1:13" s="42" customFormat="1" ht="15">
      <c r="A18" s="339"/>
      <c r="B18" s="339"/>
      <c r="C18" s="334"/>
      <c r="D18" s="343" t="s">
        <v>1676</v>
      </c>
      <c r="E18" s="334"/>
      <c r="F18" s="334"/>
      <c r="G18" s="334"/>
      <c r="H18" s="334"/>
      <c r="I18" s="334"/>
      <c r="J18" s="334"/>
      <c r="K18" s="334"/>
      <c r="L18" s="334"/>
      <c r="M18" s="334"/>
    </row>
    <row r="19" spans="5:13" ht="14.25">
      <c r="E19" s="74"/>
      <c r="F19" s="74"/>
      <c r="G19" s="65"/>
      <c r="H19" s="65"/>
      <c r="I19" s="65"/>
      <c r="J19" s="65"/>
      <c r="K19" s="65"/>
      <c r="L19" s="65"/>
      <c r="M19" s="65"/>
    </row>
    <row r="20" spans="1:13" ht="14.25">
      <c r="A20" s="75"/>
      <c r="B20" s="75"/>
      <c r="C20" s="65"/>
      <c r="D20" s="65"/>
      <c r="E20" s="65"/>
      <c r="F20" s="65"/>
      <c r="G20" s="65"/>
      <c r="H20" s="65"/>
      <c r="I20" s="65"/>
      <c r="J20" s="65"/>
      <c r="K20" s="65"/>
      <c r="L20" s="65"/>
      <c r="M20" s="65"/>
    </row>
    <row r="21" spans="3:13" ht="14.25">
      <c r="C21" s="65"/>
      <c r="D21" s="65"/>
      <c r="E21" s="65"/>
      <c r="F21" s="65"/>
      <c r="G21" s="65"/>
      <c r="H21" s="65"/>
      <c r="I21" s="65"/>
      <c r="J21" s="65"/>
      <c r="K21" s="65"/>
      <c r="L21" s="65"/>
      <c r="M21" s="65"/>
    </row>
    <row r="22" spans="1:13" ht="14.25">
      <c r="A22" s="65"/>
      <c r="B22" s="65"/>
      <c r="C22" s="65"/>
      <c r="D22" s="65"/>
      <c r="E22" s="65"/>
      <c r="F22" s="65"/>
      <c r="G22" s="65"/>
      <c r="H22" s="65"/>
      <c r="I22" s="65"/>
      <c r="J22" s="50"/>
      <c r="K22" s="50"/>
      <c r="L22" s="50"/>
      <c r="M22" s="50"/>
    </row>
    <row r="23" spans="1:13" ht="14.25">
      <c r="A23" s="65"/>
      <c r="B23" s="65"/>
      <c r="C23" s="65"/>
      <c r="D23" s="65"/>
      <c r="E23" s="65"/>
      <c r="F23" s="65"/>
      <c r="G23" s="65"/>
      <c r="H23" s="65"/>
      <c r="I23" s="65"/>
      <c r="J23" s="50"/>
      <c r="K23" s="50"/>
      <c r="L23" s="50"/>
      <c r="M23" s="50"/>
    </row>
    <row r="24" spans="1:13" ht="15" hidden="1">
      <c r="A24" s="63" t="s">
        <v>2078</v>
      </c>
      <c r="B24" s="63"/>
      <c r="C24" s="65"/>
      <c r="D24" s="72"/>
      <c r="E24" s="72" t="s">
        <v>1991</v>
      </c>
      <c r="F24" s="72"/>
      <c r="G24" s="72"/>
      <c r="H24" s="73" t="s">
        <v>2079</v>
      </c>
      <c r="I24" s="72"/>
      <c r="J24" s="50"/>
      <c r="K24" s="50"/>
      <c r="L24" s="50"/>
      <c r="M24" s="50"/>
    </row>
    <row r="25" spans="1:13" ht="14.25" hidden="1">
      <c r="A25" s="64"/>
      <c r="B25" s="64"/>
      <c r="C25" s="65"/>
      <c r="D25" s="72"/>
      <c r="E25" s="72" t="s">
        <v>1992</v>
      </c>
      <c r="F25" s="72"/>
      <c r="G25" s="72"/>
      <c r="H25" s="72" t="s">
        <v>1675</v>
      </c>
      <c r="I25" s="72"/>
      <c r="J25" s="50"/>
      <c r="K25" s="50"/>
      <c r="L25" s="50"/>
      <c r="M25" s="50"/>
    </row>
    <row r="26" spans="1:13" ht="14.25" hidden="1">
      <c r="A26" s="64"/>
      <c r="B26" s="64"/>
      <c r="C26" s="65"/>
      <c r="D26" s="65"/>
      <c r="E26" s="65"/>
      <c r="F26" s="65"/>
      <c r="G26" s="65"/>
      <c r="H26" s="65"/>
      <c r="I26" s="65"/>
      <c r="J26" s="50"/>
      <c r="K26" s="50"/>
      <c r="L26" s="50"/>
      <c r="M26" s="50"/>
    </row>
    <row r="27" spans="1:13" ht="14.25" hidden="1">
      <c r="A27" s="1425" t="s">
        <v>1993</v>
      </c>
      <c r="B27" s="1425"/>
      <c r="C27" s="1425"/>
      <c r="D27" s="1425"/>
      <c r="E27" s="74"/>
      <c r="F27" s="74"/>
      <c r="G27" s="65"/>
      <c r="H27" s="65"/>
      <c r="I27" s="65"/>
      <c r="J27" s="50"/>
      <c r="K27" s="50"/>
      <c r="L27" s="50"/>
      <c r="M27" s="50"/>
    </row>
    <row r="28" spans="1:13" ht="14.25" hidden="1">
      <c r="A28" s="65"/>
      <c r="B28" s="65"/>
      <c r="C28" s="65"/>
      <c r="D28" s="65"/>
      <c r="E28" s="65"/>
      <c r="F28" s="65"/>
      <c r="G28" s="65"/>
      <c r="H28" s="65"/>
      <c r="I28" s="65"/>
      <c r="J28" s="50"/>
      <c r="K28" s="50"/>
      <c r="L28" s="50"/>
      <c r="M28" s="50"/>
    </row>
  </sheetData>
  <sheetProtection/>
  <mergeCells count="4">
    <mergeCell ref="A1:M1"/>
    <mergeCell ref="D16:G16"/>
    <mergeCell ref="A27:D27"/>
    <mergeCell ref="A5:B5"/>
  </mergeCells>
  <printOptions/>
  <pageMargins left="0.2755905511811024" right="0.2362204724409449" top="1.1811023622047245" bottom="0.984251968503937" header="0.35433070866141736" footer="0.5118110236220472"/>
  <pageSetup horizontalDpi="600" verticalDpi="600" orientation="landscape" paperSize="9" scale="68" r:id="rId1"/>
</worksheet>
</file>

<file path=xl/worksheets/sheet20.xml><?xml version="1.0" encoding="utf-8"?>
<worksheet xmlns="http://schemas.openxmlformats.org/spreadsheetml/2006/main" xmlns:r="http://schemas.openxmlformats.org/officeDocument/2006/relationships">
  <sheetPr>
    <tabColor indexed="10"/>
  </sheetPr>
  <dimension ref="A1:J54"/>
  <sheetViews>
    <sheetView view="pageBreakPreview" zoomScaleSheetLayoutView="100" zoomScalePageLayoutView="0" workbookViewId="0" topLeftCell="A1">
      <pane ySplit="3" topLeftCell="A52" activePane="bottomLeft" state="frozen"/>
      <selection pane="topLeft" activeCell="J25" sqref="J25"/>
      <selection pane="bottomLeft" activeCell="E43" sqref="E43"/>
    </sheetView>
  </sheetViews>
  <sheetFormatPr defaultColWidth="9.00390625" defaultRowHeight="12.75"/>
  <cols>
    <col min="1" max="1" width="5.125" style="10" customWidth="1"/>
    <col min="2" max="2" width="29.125" style="10" customWidth="1"/>
    <col min="3" max="3" width="17.375" style="10" customWidth="1"/>
    <col min="4" max="4" width="17.875" style="10" customWidth="1"/>
    <col min="5" max="5" width="17.625" style="10" customWidth="1"/>
    <col min="6" max="6" width="17.875" style="10" customWidth="1"/>
    <col min="7" max="7" width="18.75390625" style="10" customWidth="1"/>
    <col min="8" max="16384" width="9.125" style="10" customWidth="1"/>
  </cols>
  <sheetData>
    <row r="1" spans="1:7" ht="40.5" customHeight="1">
      <c r="A1" s="1430" t="s">
        <v>184</v>
      </c>
      <c r="B1" s="1431"/>
      <c r="C1" s="1431"/>
      <c r="D1" s="1431"/>
      <c r="E1" s="1431"/>
      <c r="F1" s="1431"/>
      <c r="G1" s="1432"/>
    </row>
    <row r="2" spans="1:7" ht="15" customHeight="1">
      <c r="A2" s="1434" t="s">
        <v>2082</v>
      </c>
      <c r="B2" s="1434" t="s">
        <v>1772</v>
      </c>
      <c r="C2" s="1617" t="s">
        <v>1773</v>
      </c>
      <c r="D2" s="1617"/>
      <c r="E2" s="1617"/>
      <c r="F2" s="1617"/>
      <c r="G2" s="1617"/>
    </row>
    <row r="3" spans="1:8" ht="29.25" customHeight="1">
      <c r="A3" s="1434"/>
      <c r="B3" s="1434"/>
      <c r="C3" s="702">
        <v>2010</v>
      </c>
      <c r="D3" s="702">
        <v>2011</v>
      </c>
      <c r="E3" s="702">
        <v>2012</v>
      </c>
      <c r="F3" s="702">
        <v>2013</v>
      </c>
      <c r="G3" s="703">
        <v>2014</v>
      </c>
      <c r="H3" s="16"/>
    </row>
    <row r="4" spans="1:7" s="11" customFormat="1" ht="54">
      <c r="A4" s="370">
        <v>1</v>
      </c>
      <c r="B4" s="387" t="s">
        <v>2280</v>
      </c>
      <c r="C4" s="704">
        <v>31900</v>
      </c>
      <c r="D4" s="704">
        <v>31900</v>
      </c>
      <c r="E4" s="704">
        <v>31900</v>
      </c>
      <c r="F4" s="704">
        <v>31900</v>
      </c>
      <c r="G4" s="704">
        <v>31900</v>
      </c>
    </row>
    <row r="5" spans="1:7" ht="30">
      <c r="A5" s="1434">
        <v>2</v>
      </c>
      <c r="B5" s="387" t="s">
        <v>1774</v>
      </c>
      <c r="C5" s="705">
        <v>568773</v>
      </c>
      <c r="D5" s="705">
        <v>563706</v>
      </c>
      <c r="E5" s="705">
        <v>563893</v>
      </c>
      <c r="F5" s="706">
        <v>561180</v>
      </c>
      <c r="G5" s="394">
        <v>560874</v>
      </c>
    </row>
    <row r="6" spans="1:7" ht="30">
      <c r="A6" s="1434"/>
      <c r="B6" s="707" t="s">
        <v>48</v>
      </c>
      <c r="C6" s="705">
        <v>568741</v>
      </c>
      <c r="D6" s="705">
        <v>563676</v>
      </c>
      <c r="E6" s="705">
        <v>563862</v>
      </c>
      <c r="F6" s="705">
        <v>561160</v>
      </c>
      <c r="G6" s="708">
        <v>560854</v>
      </c>
    </row>
    <row r="7" spans="1:7" ht="15">
      <c r="A7" s="1434"/>
      <c r="B7" s="707" t="s">
        <v>1775</v>
      </c>
      <c r="C7" s="705">
        <v>556797</v>
      </c>
      <c r="D7" s="705">
        <v>551436</v>
      </c>
      <c r="E7" s="705">
        <v>551552</v>
      </c>
      <c r="F7" s="705">
        <v>548754</v>
      </c>
      <c r="G7" s="708">
        <v>548330</v>
      </c>
    </row>
    <row r="8" spans="1:7" s="11" customFormat="1" ht="38.25" customHeight="1">
      <c r="A8" s="1434">
        <v>3</v>
      </c>
      <c r="B8" s="387" t="s">
        <v>49</v>
      </c>
      <c r="C8" s="709">
        <f>SUM(C9,C14)</f>
        <v>36566.18</v>
      </c>
      <c r="D8" s="710">
        <f>SUM(D9,D14)</f>
        <v>36570.38</v>
      </c>
      <c r="E8" s="710">
        <f>SUM(E9,E14)</f>
        <v>36361.573</v>
      </c>
      <c r="F8" s="710">
        <f>SUM(F9,F14)</f>
        <v>36376.12</v>
      </c>
      <c r="G8" s="710">
        <f>SUM(G9,G14)</f>
        <v>36471.907</v>
      </c>
    </row>
    <row r="9" spans="1:7" s="11" customFormat="1" ht="15" customHeight="1">
      <c r="A9" s="1434"/>
      <c r="B9" s="384" t="s">
        <v>1776</v>
      </c>
      <c r="C9" s="709">
        <f>SUM(C10:C13)</f>
        <v>35032.68</v>
      </c>
      <c r="D9" s="709">
        <f>SUM(D10:D13)</f>
        <v>35036.88</v>
      </c>
      <c r="E9" s="709">
        <f>SUM(E10:E13)</f>
        <v>34841.611</v>
      </c>
      <c r="F9" s="711">
        <f>SUM(F10:F13)</f>
        <v>34856.600000000006</v>
      </c>
      <c r="G9" s="709">
        <f>SUM(G10:G13)</f>
        <v>34860.977</v>
      </c>
    </row>
    <row r="10" spans="1:7" s="11" customFormat="1" ht="15">
      <c r="A10" s="1434"/>
      <c r="B10" s="384" t="s">
        <v>2103</v>
      </c>
      <c r="C10" s="710">
        <v>1368.38</v>
      </c>
      <c r="D10" s="710">
        <v>1368.38</v>
      </c>
      <c r="E10" s="710">
        <v>1368.38</v>
      </c>
      <c r="F10" s="710">
        <v>1368.26</v>
      </c>
      <c r="G10" s="710">
        <v>1368.26</v>
      </c>
    </row>
    <row r="11" spans="1:10" s="11" customFormat="1" ht="15">
      <c r="A11" s="1434"/>
      <c r="B11" s="384" t="s">
        <v>1777</v>
      </c>
      <c r="C11" s="710">
        <v>2663.7</v>
      </c>
      <c r="D11" s="710">
        <v>2667.91</v>
      </c>
      <c r="E11" s="710">
        <v>2667.913</v>
      </c>
      <c r="F11" s="710">
        <v>2668.03</v>
      </c>
      <c r="G11" s="710">
        <v>2668.033</v>
      </c>
      <c r="I11" s="12"/>
      <c r="J11" s="12"/>
    </row>
    <row r="12" spans="1:7" s="11" customFormat="1" ht="15">
      <c r="A12" s="1434"/>
      <c r="B12" s="384" t="s">
        <v>1778</v>
      </c>
      <c r="C12" s="710">
        <v>12814.2</v>
      </c>
      <c r="D12" s="710">
        <v>12814.22</v>
      </c>
      <c r="E12" s="710">
        <v>12767.131</v>
      </c>
      <c r="F12" s="710">
        <v>12768.98</v>
      </c>
      <c r="G12" s="710">
        <f>12758.214+17.3</f>
        <v>12775.514</v>
      </c>
    </row>
    <row r="13" spans="1:9" s="11" customFormat="1" ht="15">
      <c r="A13" s="1434"/>
      <c r="B13" s="384" t="s">
        <v>50</v>
      </c>
      <c r="C13" s="710">
        <v>18186.4</v>
      </c>
      <c r="D13" s="710">
        <v>18186.37</v>
      </c>
      <c r="E13" s="710">
        <v>18038.186999999998</v>
      </c>
      <c r="F13" s="710">
        <v>18051.33</v>
      </c>
      <c r="G13" s="710">
        <v>18049.17</v>
      </c>
      <c r="H13" s="12"/>
      <c r="I13" s="12"/>
    </row>
    <row r="14" spans="1:7" s="11" customFormat="1" ht="15">
      <c r="A14" s="1434"/>
      <c r="B14" s="384" t="s">
        <v>1779</v>
      </c>
      <c r="C14" s="709">
        <f>SUM(C15:C18)</f>
        <v>1533.5</v>
      </c>
      <c r="D14" s="709">
        <f>SUM(D15:D18)</f>
        <v>1533.5</v>
      </c>
      <c r="E14" s="709">
        <f>SUM(E15:E18)</f>
        <v>1519.962</v>
      </c>
      <c r="F14" s="709">
        <f>SUM(F15:F18)</f>
        <v>1519.52</v>
      </c>
      <c r="G14" s="709">
        <f>SUM(G15:G18)</f>
        <v>1610.9299999999998</v>
      </c>
    </row>
    <row r="15" spans="1:7" s="11" customFormat="1" ht="15">
      <c r="A15" s="1434"/>
      <c r="B15" s="384" t="s">
        <v>2103</v>
      </c>
      <c r="C15" s="710">
        <v>0</v>
      </c>
      <c r="D15" s="710">
        <v>0</v>
      </c>
      <c r="E15" s="710">
        <v>0</v>
      </c>
      <c r="F15" s="710">
        <v>0</v>
      </c>
      <c r="G15" s="710">
        <v>0</v>
      </c>
    </row>
    <row r="16" spans="1:7" s="11" customFormat="1" ht="15">
      <c r="A16" s="1434"/>
      <c r="B16" s="384" t="s">
        <v>1777</v>
      </c>
      <c r="C16" s="710">
        <v>0</v>
      </c>
      <c r="D16" s="710">
        <v>0</v>
      </c>
      <c r="E16" s="710">
        <v>0</v>
      </c>
      <c r="F16" s="710">
        <v>0</v>
      </c>
      <c r="G16" s="710">
        <v>0</v>
      </c>
    </row>
    <row r="17" spans="1:7" s="11" customFormat="1" ht="15">
      <c r="A17" s="1434"/>
      <c r="B17" s="384" t="s">
        <v>1778</v>
      </c>
      <c r="C17" s="710">
        <v>906.8</v>
      </c>
      <c r="D17" s="710">
        <v>906.8</v>
      </c>
      <c r="E17" s="710">
        <v>890.794</v>
      </c>
      <c r="F17" s="710">
        <v>891.82</v>
      </c>
      <c r="G17" s="710">
        <v>931.78</v>
      </c>
    </row>
    <row r="18" spans="1:7" s="11" customFormat="1" ht="15">
      <c r="A18" s="1434"/>
      <c r="B18" s="384" t="s">
        <v>50</v>
      </c>
      <c r="C18" s="710">
        <v>626.7</v>
      </c>
      <c r="D18" s="710">
        <v>626.7</v>
      </c>
      <c r="E18" s="710">
        <v>629.168</v>
      </c>
      <c r="F18" s="710">
        <v>627.7</v>
      </c>
      <c r="G18" s="710">
        <v>679.15</v>
      </c>
    </row>
    <row r="19" spans="1:7" ht="46.5" customHeight="1">
      <c r="A19" s="1434">
        <v>4</v>
      </c>
      <c r="B19" s="387" t="s">
        <v>1789</v>
      </c>
      <c r="C19" s="709">
        <f>SUM(C20:C22)</f>
        <v>3040.3</v>
      </c>
      <c r="D19" s="709">
        <f>SUM(D20:D22)</f>
        <v>3036.62</v>
      </c>
      <c r="E19" s="709">
        <f>SUM(E20:E22)</f>
        <v>3040.166</v>
      </c>
      <c r="F19" s="709">
        <f>SUM(F20:F22)</f>
        <v>3048.24</v>
      </c>
      <c r="G19" s="709">
        <f>SUM(G20:G22)</f>
        <v>3064.622</v>
      </c>
    </row>
    <row r="20" spans="1:7" ht="15">
      <c r="A20" s="1434"/>
      <c r="B20" s="384" t="s">
        <v>2103</v>
      </c>
      <c r="C20" s="710">
        <v>978.9</v>
      </c>
      <c r="D20" s="710">
        <v>975.2</v>
      </c>
      <c r="E20" s="710">
        <v>974</v>
      </c>
      <c r="F20" s="710">
        <v>980.9</v>
      </c>
      <c r="G20" s="710">
        <v>980.9</v>
      </c>
    </row>
    <row r="21" spans="1:7" ht="15">
      <c r="A21" s="1434"/>
      <c r="B21" s="384" t="s">
        <v>1777</v>
      </c>
      <c r="C21" s="710">
        <v>569.9</v>
      </c>
      <c r="D21" s="710">
        <v>569.9</v>
      </c>
      <c r="E21" s="710">
        <v>568.8</v>
      </c>
      <c r="F21" s="710">
        <v>566.8</v>
      </c>
      <c r="G21" s="710">
        <v>564.3</v>
      </c>
    </row>
    <row r="22" spans="1:7" ht="15">
      <c r="A22" s="1434"/>
      <c r="B22" s="384" t="s">
        <v>1778</v>
      </c>
      <c r="C22" s="710">
        <v>1491.5</v>
      </c>
      <c r="D22" s="710">
        <v>1491.52</v>
      </c>
      <c r="E22" s="710">
        <v>1497.366</v>
      </c>
      <c r="F22" s="710">
        <v>1500.54</v>
      </c>
      <c r="G22" s="710">
        <v>1519.422</v>
      </c>
    </row>
    <row r="23" spans="1:7" ht="42" customHeight="1">
      <c r="A23" s="1434">
        <v>5</v>
      </c>
      <c r="B23" s="387" t="s">
        <v>51</v>
      </c>
      <c r="C23" s="705">
        <v>3413</v>
      </c>
      <c r="D23" s="705">
        <v>3419</v>
      </c>
      <c r="E23" s="705">
        <v>3420</v>
      </c>
      <c r="F23" s="705">
        <v>3392</v>
      </c>
      <c r="G23" s="705">
        <v>3342</v>
      </c>
    </row>
    <row r="24" spans="1:7" ht="15">
      <c r="A24" s="1434"/>
      <c r="B24" s="384" t="s">
        <v>52</v>
      </c>
      <c r="C24" s="705">
        <v>2466</v>
      </c>
      <c r="D24" s="705">
        <v>2484</v>
      </c>
      <c r="E24" s="705">
        <v>2482</v>
      </c>
      <c r="F24" s="705">
        <v>2464</v>
      </c>
      <c r="G24" s="705">
        <v>2425</v>
      </c>
    </row>
    <row r="25" spans="1:7" ht="30">
      <c r="A25" s="370">
        <v>6</v>
      </c>
      <c r="B25" s="387" t="s">
        <v>1780</v>
      </c>
      <c r="C25" s="705" t="s">
        <v>193</v>
      </c>
      <c r="D25" s="705" t="s">
        <v>193</v>
      </c>
      <c r="E25" s="705" t="s">
        <v>193</v>
      </c>
      <c r="F25" s="705">
        <v>4268</v>
      </c>
      <c r="G25" s="705" t="s">
        <v>193</v>
      </c>
    </row>
    <row r="26" spans="1:7" ht="30">
      <c r="A26" s="370">
        <v>7</v>
      </c>
      <c r="B26" s="387" t="s">
        <v>1971</v>
      </c>
      <c r="C26" s="710">
        <v>2398</v>
      </c>
      <c r="D26" s="710">
        <v>2981</v>
      </c>
      <c r="E26" s="710">
        <v>3405</v>
      </c>
      <c r="F26" s="710">
        <v>3866</v>
      </c>
      <c r="G26" s="710">
        <v>4187</v>
      </c>
    </row>
    <row r="27" spans="1:7" ht="45">
      <c r="A27" s="1434">
        <v>8</v>
      </c>
      <c r="B27" s="387" t="s">
        <v>160</v>
      </c>
      <c r="C27" s="709"/>
      <c r="D27" s="709"/>
      <c r="E27" s="709"/>
      <c r="F27" s="709"/>
      <c r="G27" s="709"/>
    </row>
    <row r="28" spans="1:7" ht="15">
      <c r="A28" s="1434"/>
      <c r="B28" s="384" t="s">
        <v>1781</v>
      </c>
      <c r="C28" s="710">
        <v>1952.5</v>
      </c>
      <c r="D28" s="710">
        <v>1999.949</v>
      </c>
      <c r="E28" s="710">
        <v>2058.146</v>
      </c>
      <c r="F28" s="710">
        <v>2075.9</v>
      </c>
      <c r="G28" s="710">
        <v>2088.225</v>
      </c>
    </row>
    <row r="29" spans="1:7" ht="15">
      <c r="A29" s="1434"/>
      <c r="B29" s="384" t="s">
        <v>1782</v>
      </c>
      <c r="C29" s="710">
        <v>1992.225</v>
      </c>
      <c r="D29" s="710">
        <v>1980.119</v>
      </c>
      <c r="E29" s="710">
        <v>2061.4</v>
      </c>
      <c r="F29" s="368">
        <v>2087.88</v>
      </c>
      <c r="G29" s="710">
        <v>2113.02</v>
      </c>
    </row>
    <row r="30" spans="1:7" ht="45">
      <c r="A30" s="370">
        <v>9</v>
      </c>
      <c r="B30" s="387" t="s">
        <v>53</v>
      </c>
      <c r="C30" s="705">
        <v>205373</v>
      </c>
      <c r="D30" s="705">
        <v>239188</v>
      </c>
      <c r="E30" s="705">
        <v>288304</v>
      </c>
      <c r="F30" s="705">
        <v>303627</v>
      </c>
      <c r="G30" s="705">
        <v>273457</v>
      </c>
    </row>
    <row r="31" spans="1:7" ht="45">
      <c r="A31" s="370">
        <v>10</v>
      </c>
      <c r="B31" s="387" t="s">
        <v>54</v>
      </c>
      <c r="C31" s="705">
        <v>179225</v>
      </c>
      <c r="D31" s="705">
        <v>202347</v>
      </c>
      <c r="E31" s="705">
        <v>238457</v>
      </c>
      <c r="F31" s="705">
        <v>262835</v>
      </c>
      <c r="G31" s="705">
        <v>281179</v>
      </c>
    </row>
    <row r="32" spans="1:7" ht="45">
      <c r="A32" s="1434">
        <v>11</v>
      </c>
      <c r="B32" s="387" t="s">
        <v>55</v>
      </c>
      <c r="C32" s="709"/>
      <c r="D32" s="709"/>
      <c r="E32" s="709"/>
      <c r="F32" s="709"/>
      <c r="G32" s="709"/>
    </row>
    <row r="33" spans="1:7" ht="15">
      <c r="A33" s="1434"/>
      <c r="B33" s="384" t="s">
        <v>1783</v>
      </c>
      <c r="C33" s="712">
        <v>1521.704</v>
      </c>
      <c r="D33" s="712">
        <v>1564.109</v>
      </c>
      <c r="E33" s="712">
        <v>1561.978</v>
      </c>
      <c r="F33" s="712">
        <v>1633.114</v>
      </c>
      <c r="G33" s="712">
        <v>1651.063</v>
      </c>
    </row>
    <row r="34" spans="1:7" ht="15">
      <c r="A34" s="1434"/>
      <c r="B34" s="384" t="s">
        <v>1782</v>
      </c>
      <c r="C34" s="712">
        <v>1607.449</v>
      </c>
      <c r="D34" s="712">
        <v>1579.707</v>
      </c>
      <c r="E34" s="712">
        <v>1625.627</v>
      </c>
      <c r="F34" s="712">
        <v>1639.163</v>
      </c>
      <c r="G34" s="712"/>
    </row>
    <row r="35" spans="1:7" ht="45">
      <c r="A35" s="370">
        <v>12</v>
      </c>
      <c r="B35" s="387" t="s">
        <v>56</v>
      </c>
      <c r="C35" s="705">
        <v>37274</v>
      </c>
      <c r="D35" s="705">
        <v>42329</v>
      </c>
      <c r="E35" s="705">
        <v>47707</v>
      </c>
      <c r="F35" s="705">
        <v>51256</v>
      </c>
      <c r="G35" s="705">
        <v>48133</v>
      </c>
    </row>
    <row r="36" spans="1:7" ht="45">
      <c r="A36" s="370">
        <v>13</v>
      </c>
      <c r="B36" s="387" t="s">
        <v>57</v>
      </c>
      <c r="C36" s="705">
        <v>36382</v>
      </c>
      <c r="D36" s="705">
        <v>45000</v>
      </c>
      <c r="E36" s="705">
        <v>52531</v>
      </c>
      <c r="F36" s="705">
        <v>56970</v>
      </c>
      <c r="G36" s="705">
        <v>61292</v>
      </c>
    </row>
    <row r="37" spans="1:7" ht="15">
      <c r="A37" s="1434">
        <v>14</v>
      </c>
      <c r="B37" s="387" t="s">
        <v>58</v>
      </c>
      <c r="C37" s="709">
        <f>SUM(C38,C39)</f>
        <v>27040</v>
      </c>
      <c r="D37" s="709">
        <f>SUM(D38,D39)</f>
        <v>34170</v>
      </c>
      <c r="E37" s="709">
        <f>SUM(E38,E39)</f>
        <v>45023</v>
      </c>
      <c r="F37" s="709">
        <f>F38+F39</f>
        <v>35078</v>
      </c>
      <c r="G37" s="709">
        <f>G38+G39</f>
        <v>-20863</v>
      </c>
    </row>
    <row r="38" spans="1:7" ht="15">
      <c r="A38" s="1434"/>
      <c r="B38" s="713" t="s">
        <v>1784</v>
      </c>
      <c r="C38" s="710">
        <v>26148</v>
      </c>
      <c r="D38" s="710">
        <v>36841</v>
      </c>
      <c r="E38" s="710">
        <v>49847</v>
      </c>
      <c r="F38" s="710">
        <v>40792</v>
      </c>
      <c r="G38" s="710">
        <v>-7704</v>
      </c>
    </row>
    <row r="39" spans="1:7" ht="30">
      <c r="A39" s="1434"/>
      <c r="B39" s="713" t="s">
        <v>1785</v>
      </c>
      <c r="C39" s="710">
        <v>892</v>
      </c>
      <c r="D39" s="710">
        <v>-2671</v>
      </c>
      <c r="E39" s="710">
        <v>-4824</v>
      </c>
      <c r="F39" s="710">
        <v>-5714</v>
      </c>
      <c r="G39" s="710">
        <v>-13159</v>
      </c>
    </row>
    <row r="40" spans="1:7" ht="30">
      <c r="A40" s="370">
        <v>15</v>
      </c>
      <c r="B40" s="387" t="s">
        <v>1972</v>
      </c>
      <c r="C40" s="710">
        <v>0</v>
      </c>
      <c r="D40" s="710">
        <v>0</v>
      </c>
      <c r="E40" s="710">
        <v>0</v>
      </c>
      <c r="F40" s="710">
        <v>0</v>
      </c>
      <c r="G40" s="710">
        <v>0</v>
      </c>
    </row>
    <row r="41" spans="1:7" ht="33" customHeight="1">
      <c r="A41" s="370">
        <v>16</v>
      </c>
      <c r="B41" s="387" t="s">
        <v>1973</v>
      </c>
      <c r="C41" s="710">
        <v>0</v>
      </c>
      <c r="D41" s="710">
        <v>0</v>
      </c>
      <c r="E41" s="710">
        <v>0</v>
      </c>
      <c r="F41" s="710">
        <v>0</v>
      </c>
      <c r="G41" s="710">
        <v>0</v>
      </c>
    </row>
    <row r="42" spans="1:7" ht="32.25" customHeight="1">
      <c r="A42" s="370">
        <v>17</v>
      </c>
      <c r="B42" s="387" t="s">
        <v>1786</v>
      </c>
      <c r="C42" s="714">
        <v>25</v>
      </c>
      <c r="D42" s="714" t="s">
        <v>804</v>
      </c>
      <c r="E42" s="714">
        <v>21</v>
      </c>
      <c r="F42" s="714">
        <v>19</v>
      </c>
      <c r="G42" s="714"/>
    </row>
    <row r="43" spans="1:7" ht="31.5" customHeight="1">
      <c r="A43" s="370">
        <v>18</v>
      </c>
      <c r="B43" s="387" t="s">
        <v>1787</v>
      </c>
      <c r="C43" s="714">
        <v>15.45</v>
      </c>
      <c r="D43" s="714">
        <v>15.39</v>
      </c>
      <c r="E43" s="714">
        <v>15.33</v>
      </c>
      <c r="F43" s="714">
        <v>14.78</v>
      </c>
      <c r="G43" s="714">
        <v>13.66</v>
      </c>
    </row>
    <row r="44" spans="1:7" ht="15.75" customHeight="1">
      <c r="A44" s="370">
        <v>19</v>
      </c>
      <c r="B44" s="387" t="s">
        <v>1788</v>
      </c>
      <c r="C44" s="714">
        <v>-1.08</v>
      </c>
      <c r="D44" s="714">
        <v>-2.09</v>
      </c>
      <c r="E44" s="714">
        <v>-2.01</v>
      </c>
      <c r="F44" s="714">
        <v>-1.98</v>
      </c>
      <c r="G44" s="714">
        <v>-2.63</v>
      </c>
    </row>
    <row r="45" spans="1:7" ht="33" customHeight="1">
      <c r="A45" s="1434">
        <v>20</v>
      </c>
      <c r="B45" s="387" t="s">
        <v>1803</v>
      </c>
      <c r="C45" s="715">
        <f>SUM(C46:C49)</f>
        <v>154099.63999999998</v>
      </c>
      <c r="D45" s="715">
        <f>SUM(D46:D49)</f>
        <v>153686.55</v>
      </c>
      <c r="E45" s="715">
        <f>SUM(E46:E49)</f>
        <v>154398.59</v>
      </c>
      <c r="F45" s="715">
        <f>SUM(F46:F49)</f>
        <v>155918</v>
      </c>
      <c r="G45" s="715">
        <f>SUM(G46:G49)</f>
        <v>156155</v>
      </c>
    </row>
    <row r="46" spans="1:7" ht="13.5" customHeight="1">
      <c r="A46" s="1434"/>
      <c r="B46" s="387" t="s">
        <v>1801</v>
      </c>
      <c r="C46" s="705">
        <v>55512.49</v>
      </c>
      <c r="D46" s="705">
        <v>59230.45</v>
      </c>
      <c r="E46" s="705">
        <v>58879.84</v>
      </c>
      <c r="F46" s="705">
        <v>58739</v>
      </c>
      <c r="G46" s="705">
        <v>58885</v>
      </c>
    </row>
    <row r="47" spans="1:7" ht="13.5" customHeight="1">
      <c r="A47" s="1434"/>
      <c r="B47" s="387" t="s">
        <v>1802</v>
      </c>
      <c r="C47" s="705">
        <v>54380.42</v>
      </c>
      <c r="D47" s="705">
        <v>63124.46</v>
      </c>
      <c r="E47" s="705">
        <v>63031.38</v>
      </c>
      <c r="F47" s="705">
        <v>62949</v>
      </c>
      <c r="G47" s="705">
        <v>63220</v>
      </c>
    </row>
    <row r="48" spans="1:7" ht="28.5" customHeight="1">
      <c r="A48" s="1434"/>
      <c r="B48" s="387" t="s">
        <v>59</v>
      </c>
      <c r="C48" s="705">
        <v>26086.18</v>
      </c>
      <c r="D48" s="705">
        <v>10015.8</v>
      </c>
      <c r="E48" s="705">
        <v>11900.8</v>
      </c>
      <c r="F48" s="705">
        <v>12528</v>
      </c>
      <c r="G48" s="705">
        <v>12309</v>
      </c>
    </row>
    <row r="49" spans="1:7" ht="29.25" customHeight="1">
      <c r="A49" s="1434"/>
      <c r="B49" s="387" t="s">
        <v>60</v>
      </c>
      <c r="C49" s="705">
        <v>18120.55</v>
      </c>
      <c r="D49" s="705">
        <v>21315.84</v>
      </c>
      <c r="E49" s="705">
        <v>20586.57</v>
      </c>
      <c r="F49" s="705">
        <v>21702</v>
      </c>
      <c r="G49" s="705">
        <v>21741</v>
      </c>
    </row>
    <row r="50" spans="1:7" ht="24.75" customHeight="1">
      <c r="A50" s="1616" t="s">
        <v>161</v>
      </c>
      <c r="B50" s="1616"/>
      <c r="C50" s="1616"/>
      <c r="D50" s="1616"/>
      <c r="E50" s="1616"/>
      <c r="F50" s="1616"/>
      <c r="G50" s="1616"/>
    </row>
    <row r="51" spans="1:7" ht="14.25">
      <c r="A51" s="67"/>
      <c r="B51" s="67"/>
      <c r="C51" s="67"/>
      <c r="D51" s="67"/>
      <c r="E51" s="67"/>
      <c r="F51" s="66"/>
      <c r="G51" s="66"/>
    </row>
    <row r="52" spans="1:7" ht="14.25">
      <c r="A52" s="67"/>
      <c r="B52" s="67"/>
      <c r="C52" s="67"/>
      <c r="D52" s="67"/>
      <c r="E52" s="67"/>
      <c r="F52" s="67"/>
      <c r="G52" s="67"/>
    </row>
    <row r="53" spans="1:7" ht="12.75">
      <c r="A53" s="28"/>
      <c r="B53" s="28"/>
      <c r="C53" s="28"/>
      <c r="D53" s="28"/>
      <c r="E53" s="28"/>
      <c r="F53" s="28"/>
      <c r="G53" s="28"/>
    </row>
    <row r="54" spans="1:7" ht="12.75">
      <c r="A54" s="28"/>
      <c r="B54" s="28"/>
      <c r="C54" s="28"/>
      <c r="D54" s="28"/>
      <c r="E54" s="28"/>
      <c r="F54" s="28"/>
      <c r="G54" s="28"/>
    </row>
  </sheetData>
  <sheetProtection/>
  <mergeCells count="13">
    <mergeCell ref="A1:G1"/>
    <mergeCell ref="A2:A3"/>
    <mergeCell ref="B2:B3"/>
    <mergeCell ref="C2:G2"/>
    <mergeCell ref="A5:A7"/>
    <mergeCell ref="A8:A18"/>
    <mergeCell ref="A50:G50"/>
    <mergeCell ref="A19:A22"/>
    <mergeCell ref="A23:A24"/>
    <mergeCell ref="A27:A29"/>
    <mergeCell ref="A32:A34"/>
    <mergeCell ref="A37:A39"/>
    <mergeCell ref="A45:A49"/>
  </mergeCells>
  <printOptions/>
  <pageMargins left="0.7874015748031497" right="0.1968503937007874" top="0.5118110236220472" bottom="0.35433070866141736" header="0.1968503937007874" footer="0.2362204724409449"/>
  <pageSetup horizontalDpi="600" verticalDpi="600" orientation="portrait" paperSize="9" scale="75" r:id="rId3"/>
  <legacyDrawing r:id="rId2"/>
</worksheet>
</file>

<file path=xl/worksheets/sheet21.xml><?xml version="1.0" encoding="utf-8"?>
<worksheet xmlns="http://schemas.openxmlformats.org/spreadsheetml/2006/main" xmlns:r="http://schemas.openxmlformats.org/officeDocument/2006/relationships">
  <sheetPr>
    <tabColor indexed="10"/>
  </sheetPr>
  <dimension ref="A1:AX223"/>
  <sheetViews>
    <sheetView view="pageBreakPreview" zoomScaleSheetLayoutView="100" zoomScalePageLayoutView="0" workbookViewId="0" topLeftCell="A1">
      <selection activeCell="H8" sqref="H8"/>
    </sheetView>
  </sheetViews>
  <sheetFormatPr defaultColWidth="8.75390625" defaultRowHeight="12.75" outlineLevelRow="1"/>
  <cols>
    <col min="1" max="1" width="5.25390625" style="3" customWidth="1"/>
    <col min="2" max="2" width="31.625" style="3" customWidth="1"/>
    <col min="3" max="3" width="18.00390625" style="3" customWidth="1"/>
    <col min="4" max="4" width="13.875" style="3" customWidth="1"/>
    <col min="5" max="5" width="17.875" style="3" customWidth="1"/>
    <col min="6" max="6" width="10.875" style="3" customWidth="1"/>
    <col min="7" max="7" width="17.75390625" style="3" customWidth="1"/>
    <col min="8" max="8" width="18.125" style="3" customWidth="1"/>
    <col min="9" max="9" width="18.375" style="3" customWidth="1"/>
    <col min="10" max="10" width="18.00390625" style="3" customWidth="1"/>
    <col min="11" max="11" width="8.75390625" style="3" customWidth="1"/>
    <col min="12" max="13" width="9.125" style="3" bestFit="1" customWidth="1"/>
    <col min="14" max="16384" width="8.75390625" style="3" customWidth="1"/>
  </cols>
  <sheetData>
    <row r="1" spans="1:10" ht="25.5" customHeight="1">
      <c r="A1" s="1620" t="s">
        <v>1855</v>
      </c>
      <c r="B1" s="1620"/>
      <c r="C1" s="1620"/>
      <c r="D1" s="1620"/>
      <c r="E1" s="1620"/>
      <c r="F1" s="1620"/>
      <c r="G1" s="1620"/>
      <c r="H1" s="1620"/>
      <c r="I1" s="1620"/>
      <c r="J1" s="1620"/>
    </row>
    <row r="2" spans="1:10" ht="15.75" customHeight="1">
      <c r="A2" s="1596" t="s">
        <v>2082</v>
      </c>
      <c r="B2" s="1623" t="s">
        <v>2083</v>
      </c>
      <c r="C2" s="1622" t="s">
        <v>678</v>
      </c>
      <c r="D2" s="1622"/>
      <c r="E2" s="1621" t="s">
        <v>61</v>
      </c>
      <c r="F2" s="1621"/>
      <c r="G2" s="1621"/>
      <c r="H2" s="1621"/>
      <c r="I2" s="1621"/>
      <c r="J2" s="1621"/>
    </row>
    <row r="3" spans="1:10" ht="18" customHeight="1">
      <c r="A3" s="1597"/>
      <c r="B3" s="1623"/>
      <c r="C3" s="1622"/>
      <c r="D3" s="1622"/>
      <c r="E3" s="1624">
        <v>2015</v>
      </c>
      <c r="F3" s="1624"/>
      <c r="G3" s="717">
        <v>2016</v>
      </c>
      <c r="H3" s="717">
        <v>2017</v>
      </c>
      <c r="I3" s="717">
        <v>2018</v>
      </c>
      <c r="J3" s="717">
        <v>2019</v>
      </c>
    </row>
    <row r="4" spans="1:10" ht="14.25" customHeight="1">
      <c r="A4" s="1598"/>
      <c r="B4" s="1623"/>
      <c r="C4" s="305" t="s">
        <v>446</v>
      </c>
      <c r="D4" s="305" t="s">
        <v>2085</v>
      </c>
      <c r="E4" s="305" t="s">
        <v>446</v>
      </c>
      <c r="F4" s="305" t="s">
        <v>2085</v>
      </c>
      <c r="G4" s="305" t="s">
        <v>446</v>
      </c>
      <c r="H4" s="305" t="s">
        <v>446</v>
      </c>
      <c r="I4" s="305" t="s">
        <v>446</v>
      </c>
      <c r="J4" s="304" t="s">
        <v>446</v>
      </c>
    </row>
    <row r="5" spans="1:14" ht="51.75" customHeight="1">
      <c r="A5" s="718">
        <v>1</v>
      </c>
      <c r="B5" s="719" t="s">
        <v>1870</v>
      </c>
      <c r="C5" s="711">
        <f aca="true" t="shared" si="0" ref="C5:C11">E5+G5+H5+I5+J5</f>
        <v>355962.2161955946</v>
      </c>
      <c r="D5" s="720">
        <f>IF(C12=0,0,C5/C12)</f>
        <v>0.700987016698702</v>
      </c>
      <c r="E5" s="711">
        <f>'6. Пров закупівлі'!F77</f>
        <v>53192.996935936666</v>
      </c>
      <c r="F5" s="720">
        <f>IF(E12=0,0,E5/E12)</f>
        <v>0.7009870166987022</v>
      </c>
      <c r="G5" s="711">
        <f>E5*1.2</f>
        <v>63831.596323123995</v>
      </c>
      <c r="H5" s="711">
        <f>G5*1.15</f>
        <v>73406.33577159258</v>
      </c>
      <c r="I5" s="711">
        <f>H5*1.1</f>
        <v>80746.96934875185</v>
      </c>
      <c r="J5" s="711">
        <f>I5*1.05</f>
        <v>84784.31781618945</v>
      </c>
      <c r="L5" s="31"/>
      <c r="M5" s="31"/>
      <c r="N5" s="30"/>
    </row>
    <row r="6" spans="1:10" ht="41.25" customHeight="1">
      <c r="A6" s="718">
        <v>2</v>
      </c>
      <c r="B6" s="719" t="s">
        <v>62</v>
      </c>
      <c r="C6" s="711">
        <f t="shared" si="0"/>
        <v>39652.303699261836</v>
      </c>
      <c r="D6" s="720">
        <f>IF(C12=0,0,C6/C12)</f>
        <v>0.07808623727666425</v>
      </c>
      <c r="E6" s="711">
        <f>'6. Пров закупівлі'!F99</f>
        <v>5925.4178483333335</v>
      </c>
      <c r="F6" s="720">
        <f>IF(E12=0,0,E6/E12)</f>
        <v>0.07808623727666428</v>
      </c>
      <c r="G6" s="711">
        <f aca="true" t="shared" si="1" ref="G6:G11">E6*1.2</f>
        <v>7110.501418</v>
      </c>
      <c r="H6" s="711">
        <f aca="true" t="shared" si="2" ref="H6:H11">G6*1.15</f>
        <v>8177.076630699999</v>
      </c>
      <c r="I6" s="711">
        <f aca="true" t="shared" si="3" ref="I6:I11">H6*1.1</f>
        <v>8994.78429377</v>
      </c>
      <c r="J6" s="711">
        <f aca="true" t="shared" si="4" ref="J6:J11">I6*1.05</f>
        <v>9444.523508458502</v>
      </c>
    </row>
    <row r="7" spans="1:10" ht="62.25" customHeight="1">
      <c r="A7" s="718">
        <v>3</v>
      </c>
      <c r="B7" s="719" t="s">
        <v>63</v>
      </c>
      <c r="C7" s="711">
        <f t="shared" si="0"/>
        <v>12985.571722900002</v>
      </c>
      <c r="D7" s="720">
        <f>IF(C12=0,0,C7/C12)</f>
        <v>0.02557214436815654</v>
      </c>
      <c r="E7" s="711">
        <f>'6. Пров закупівлі'!F130</f>
        <v>1940.491</v>
      </c>
      <c r="F7" s="720">
        <f>IF(E12=0,0,E7/E12)</f>
        <v>0.02557214436815655</v>
      </c>
      <c r="G7" s="711">
        <f t="shared" si="1"/>
        <v>2328.5892</v>
      </c>
      <c r="H7" s="711">
        <f t="shared" si="2"/>
        <v>2677.87758</v>
      </c>
      <c r="I7" s="711">
        <f t="shared" si="3"/>
        <v>2945.6653380000002</v>
      </c>
      <c r="J7" s="711">
        <f t="shared" si="4"/>
        <v>3092.9486049</v>
      </c>
    </row>
    <row r="8" spans="1:10" ht="30.75" customHeight="1">
      <c r="A8" s="718">
        <v>4</v>
      </c>
      <c r="B8" s="719" t="s">
        <v>2087</v>
      </c>
      <c r="C8" s="711">
        <f t="shared" si="0"/>
        <v>29263.277186</v>
      </c>
      <c r="D8" s="720">
        <f>IF(C12=0,0,C8/C12)</f>
        <v>0.05762740099968846</v>
      </c>
      <c r="E8" s="711">
        <f>'6. Пров закупівлі'!F174</f>
        <v>4372.9400000000005</v>
      </c>
      <c r="F8" s="720">
        <f>IF(E12=0,0,E8/E12)</f>
        <v>0.05762740099968848</v>
      </c>
      <c r="G8" s="711">
        <f t="shared" si="1"/>
        <v>5247.528</v>
      </c>
      <c r="H8" s="711">
        <f t="shared" si="2"/>
        <v>6034.6572</v>
      </c>
      <c r="I8" s="711">
        <f t="shared" si="3"/>
        <v>6638.12292</v>
      </c>
      <c r="J8" s="711">
        <f t="shared" si="4"/>
        <v>6970.029066</v>
      </c>
    </row>
    <row r="9" spans="1:10" ht="30" customHeight="1">
      <c r="A9" s="718">
        <v>5</v>
      </c>
      <c r="B9" s="719" t="s">
        <v>64</v>
      </c>
      <c r="C9" s="711">
        <f t="shared" si="0"/>
        <v>2449.2354</v>
      </c>
      <c r="D9" s="720">
        <f>IF(C12=0,0,C9/C12)</f>
        <v>0.004823214763039506</v>
      </c>
      <c r="E9" s="711">
        <f>'6. Пров закупівлі'!F201</f>
        <v>366</v>
      </c>
      <c r="F9" s="720">
        <f>IF(E12=0,0,E9/E12)</f>
        <v>0.004823214763039508</v>
      </c>
      <c r="G9" s="711">
        <f t="shared" si="1"/>
        <v>439.2</v>
      </c>
      <c r="H9" s="711">
        <f t="shared" si="2"/>
        <v>505.0799999999999</v>
      </c>
      <c r="I9" s="711">
        <f t="shared" si="3"/>
        <v>555.588</v>
      </c>
      <c r="J9" s="711">
        <f t="shared" si="4"/>
        <v>583.3674</v>
      </c>
    </row>
    <row r="10" spans="1:10" ht="28.5" customHeight="1">
      <c r="A10" s="718">
        <v>6</v>
      </c>
      <c r="B10" s="719" t="s">
        <v>65</v>
      </c>
      <c r="C10" s="368">
        <f t="shared" si="0"/>
        <v>62035.954029500004</v>
      </c>
      <c r="D10" s="720">
        <f>IF(C12=0,0,C10/C12)</f>
        <v>0.12216577031114466</v>
      </c>
      <c r="E10" s="368">
        <f>'6. Пров закупівлі'!F209</f>
        <v>9270.305</v>
      </c>
      <c r="F10" s="720">
        <f>IF(E12=0,0,E10/E12)</f>
        <v>0.1221657703111447</v>
      </c>
      <c r="G10" s="711">
        <f t="shared" si="1"/>
        <v>11124.366</v>
      </c>
      <c r="H10" s="711">
        <f t="shared" si="2"/>
        <v>12793.0209</v>
      </c>
      <c r="I10" s="711">
        <f t="shared" si="3"/>
        <v>14072.32299</v>
      </c>
      <c r="J10" s="711">
        <f t="shared" si="4"/>
        <v>14775.939139500002</v>
      </c>
    </row>
    <row r="11" spans="1:13" ht="27.75" customHeight="1">
      <c r="A11" s="718">
        <v>7</v>
      </c>
      <c r="B11" s="719" t="s">
        <v>2088</v>
      </c>
      <c r="C11" s="368">
        <f t="shared" si="0"/>
        <v>5452.881331199999</v>
      </c>
      <c r="D11" s="720">
        <f>IF(C12=0,0,C11/C12)</f>
        <v>0.010738215582604412</v>
      </c>
      <c r="E11" s="368">
        <f>'6. Пров закупівлі'!F216</f>
        <v>814.848</v>
      </c>
      <c r="F11" s="720">
        <f>IF(E12=0,0,E11/E12)</f>
        <v>0.010738215582604415</v>
      </c>
      <c r="G11" s="711">
        <f t="shared" si="1"/>
        <v>977.8175999999999</v>
      </c>
      <c r="H11" s="711">
        <f t="shared" si="2"/>
        <v>1124.4902399999999</v>
      </c>
      <c r="I11" s="711">
        <f t="shared" si="3"/>
        <v>1236.9392639999999</v>
      </c>
      <c r="J11" s="711">
        <f t="shared" si="4"/>
        <v>1298.7862272</v>
      </c>
      <c r="M11" s="31"/>
    </row>
    <row r="12" spans="1:10" ht="18" customHeight="1">
      <c r="A12" s="1618" t="s">
        <v>1681</v>
      </c>
      <c r="B12" s="1619"/>
      <c r="C12" s="711">
        <f>C5+C6+C7+C8+C9+C10+C11</f>
        <v>507801.4395644565</v>
      </c>
      <c r="D12" s="720">
        <f>SUM(D5:D11)</f>
        <v>0.9999999999999998</v>
      </c>
      <c r="E12" s="711">
        <f>SUM(E5:E11)</f>
        <v>75882.99878426999</v>
      </c>
      <c r="F12" s="720">
        <v>0.9999999999999999</v>
      </c>
      <c r="G12" s="711">
        <f>G5+G6+G7+G8+G9+G10+G11</f>
        <v>91059.59854112398</v>
      </c>
      <c r="H12" s="711">
        <f>H5+H6+H7+H8+H9+H10+H11</f>
        <v>104718.53832229259</v>
      </c>
      <c r="I12" s="711">
        <f>I5+I6+I7+I8+I9+I10+I11</f>
        <v>115190.39215452186</v>
      </c>
      <c r="J12" s="711">
        <f>J5+J6+J7+J8+J9+J10+J11</f>
        <v>120949.91176224795</v>
      </c>
    </row>
    <row r="13" spans="1:12" s="1" customFormat="1" ht="12.75">
      <c r="A13" s="721"/>
      <c r="B13" s="721"/>
      <c r="C13" s="721"/>
      <c r="D13" s="722"/>
      <c r="E13" s="721"/>
      <c r="F13" s="721"/>
      <c r="G13" s="721"/>
      <c r="H13" s="721"/>
      <c r="I13" s="721"/>
      <c r="J13" s="721"/>
      <c r="L13" s="58"/>
    </row>
    <row r="14" spans="1:10" s="27" customFormat="1" ht="15" customHeight="1">
      <c r="A14" s="723"/>
      <c r="B14" s="724"/>
      <c r="C14" s="723"/>
      <c r="D14" s="725"/>
      <c r="E14" s="726"/>
      <c r="F14" s="723"/>
      <c r="G14" s="723"/>
      <c r="H14" s="723"/>
      <c r="I14" s="723"/>
      <c r="J14" s="723"/>
    </row>
    <row r="15" spans="1:50" s="25" customFormat="1" ht="33.75" customHeight="1">
      <c r="A15" s="727"/>
      <c r="B15" s="335" t="s">
        <v>2243</v>
      </c>
      <c r="C15" s="334"/>
      <c r="D15" s="336" t="s">
        <v>1991</v>
      </c>
      <c r="E15" s="728"/>
      <c r="F15" s="336"/>
      <c r="G15" s="337" t="s">
        <v>2242</v>
      </c>
      <c r="H15" s="729"/>
      <c r="I15" s="730"/>
      <c r="J15" s="731"/>
      <c r="K15" s="19"/>
      <c r="L15" s="20"/>
      <c r="M15" s="19"/>
      <c r="N15" s="20"/>
      <c r="O15" s="19"/>
      <c r="P15" s="20"/>
      <c r="Q15" s="19"/>
      <c r="R15" s="20"/>
      <c r="S15" s="19"/>
      <c r="T15" s="20"/>
      <c r="U15" s="19"/>
      <c r="V15" s="20"/>
      <c r="W15" s="19"/>
      <c r="X15" s="20"/>
      <c r="Y15" s="19"/>
      <c r="Z15" s="20"/>
      <c r="AA15" s="19"/>
      <c r="AB15" s="20"/>
      <c r="AC15" s="19"/>
      <c r="AD15" s="20"/>
      <c r="AE15" s="19"/>
      <c r="AF15" s="20"/>
      <c r="AG15" s="19"/>
      <c r="AH15" s="20"/>
      <c r="AI15" s="19"/>
      <c r="AJ15" s="20"/>
      <c r="AK15" s="19"/>
      <c r="AL15" s="20"/>
      <c r="AM15" s="19"/>
      <c r="AN15" s="20"/>
      <c r="AO15" s="19"/>
      <c r="AP15" s="20"/>
      <c r="AQ15" s="19"/>
      <c r="AR15" s="20"/>
      <c r="AS15" s="20"/>
      <c r="AT15" s="21"/>
      <c r="AU15" s="22"/>
      <c r="AV15" s="22"/>
      <c r="AW15" s="23"/>
      <c r="AX15" s="24"/>
    </row>
    <row r="16" spans="1:10" s="28" customFormat="1" ht="15">
      <c r="A16" s="723"/>
      <c r="B16" s="339"/>
      <c r="C16" s="334"/>
      <c r="D16" s="336" t="s">
        <v>1992</v>
      </c>
      <c r="E16" s="336"/>
      <c r="F16" s="336"/>
      <c r="G16" s="336" t="s">
        <v>1675</v>
      </c>
      <c r="H16" s="732"/>
      <c r="I16" s="723"/>
      <c r="J16" s="723"/>
    </row>
    <row r="17" spans="1:10" s="28" customFormat="1" ht="15">
      <c r="A17" s="723"/>
      <c r="B17" s="339"/>
      <c r="C17" s="334"/>
      <c r="D17" s="336"/>
      <c r="E17" s="336"/>
      <c r="F17" s="336"/>
      <c r="G17" s="336"/>
      <c r="H17" s="732"/>
      <c r="I17" s="723"/>
      <c r="J17" s="723"/>
    </row>
    <row r="18" spans="1:10" s="28" customFormat="1" ht="15" outlineLevel="1">
      <c r="A18" s="723"/>
      <c r="B18" s="335" t="s">
        <v>436</v>
      </c>
      <c r="C18" s="334"/>
      <c r="D18" s="336" t="s">
        <v>1991</v>
      </c>
      <c r="E18" s="728"/>
      <c r="F18" s="336"/>
      <c r="G18" s="337" t="s">
        <v>435</v>
      </c>
      <c r="H18" s="732"/>
      <c r="I18" s="723"/>
      <c r="J18" s="723"/>
    </row>
    <row r="19" spans="1:10" s="28" customFormat="1" ht="15" outlineLevel="1">
      <c r="A19" s="723"/>
      <c r="B19" s="339"/>
      <c r="C19" s="334"/>
      <c r="D19" s="336" t="s">
        <v>1992</v>
      </c>
      <c r="E19" s="336"/>
      <c r="F19" s="336"/>
      <c r="G19" s="336" t="s">
        <v>1675</v>
      </c>
      <c r="H19" s="732"/>
      <c r="I19" s="723"/>
      <c r="J19" s="723"/>
    </row>
    <row r="20" spans="1:10" s="28" customFormat="1" ht="15">
      <c r="A20" s="723"/>
      <c r="B20" s="339"/>
      <c r="C20" s="334"/>
      <c r="D20" s="336"/>
      <c r="E20" s="336"/>
      <c r="F20" s="336"/>
      <c r="G20" s="336"/>
      <c r="H20" s="732"/>
      <c r="I20" s="723"/>
      <c r="J20" s="723"/>
    </row>
    <row r="21" spans="1:10" ht="15">
      <c r="A21" s="733"/>
      <c r="B21" s="1428" t="s">
        <v>1993</v>
      </c>
      <c r="C21" s="1428"/>
      <c r="D21" s="1428"/>
      <c r="E21" s="362"/>
      <c r="F21" s="334"/>
      <c r="G21" s="334"/>
      <c r="H21" s="734"/>
      <c r="I21" s="733"/>
      <c r="J21" s="733"/>
    </row>
    <row r="22" spans="1:10" ht="15">
      <c r="A22" s="733"/>
      <c r="B22" s="363" t="s">
        <v>437</v>
      </c>
      <c r="C22" s="334"/>
      <c r="D22" s="334"/>
      <c r="E22" s="334"/>
      <c r="F22" s="334"/>
      <c r="G22" s="334"/>
      <c r="H22" s="735"/>
      <c r="I22" s="733"/>
      <c r="J22" s="733"/>
    </row>
    <row r="23" spans="1:10" ht="15">
      <c r="A23" s="733"/>
      <c r="B23" s="319"/>
      <c r="C23" s="334" t="s">
        <v>1793</v>
      </c>
      <c r="D23" s="334"/>
      <c r="E23" s="736"/>
      <c r="F23" s="334"/>
      <c r="G23" s="334"/>
      <c r="H23" s="735"/>
      <c r="I23" s="733"/>
      <c r="J23" s="733"/>
    </row>
    <row r="24" spans="1:10" ht="14.25">
      <c r="A24" s="26"/>
      <c r="B24" s="78"/>
      <c r="C24" s="78"/>
      <c r="D24" s="78"/>
      <c r="E24" s="78"/>
      <c r="F24" s="78"/>
      <c r="G24" s="78"/>
      <c r="H24" s="79"/>
      <c r="I24" s="26"/>
      <c r="J24" s="26"/>
    </row>
    <row r="25" spans="1:10" ht="14.25">
      <c r="A25" s="26"/>
      <c r="B25" s="65"/>
      <c r="C25" s="65"/>
      <c r="D25" s="65"/>
      <c r="E25" s="65"/>
      <c r="F25" s="65"/>
      <c r="G25" s="65"/>
      <c r="H25" s="79"/>
      <c r="I25" s="26"/>
      <c r="J25" s="26"/>
    </row>
    <row r="26" spans="1:10" ht="15" hidden="1">
      <c r="A26" s="26"/>
      <c r="B26" s="63" t="s">
        <v>2078</v>
      </c>
      <c r="C26" s="65"/>
      <c r="D26" s="72" t="s">
        <v>1991</v>
      </c>
      <c r="E26" s="72"/>
      <c r="F26" s="72"/>
      <c r="G26" s="77" t="s">
        <v>2079</v>
      </c>
      <c r="H26" s="79"/>
      <c r="I26" s="26"/>
      <c r="J26" s="26"/>
    </row>
    <row r="27" spans="1:10" ht="14.25" hidden="1">
      <c r="A27" s="26"/>
      <c r="B27" s="64"/>
      <c r="C27" s="65"/>
      <c r="D27" s="72" t="s">
        <v>1992</v>
      </c>
      <c r="E27" s="72"/>
      <c r="F27" s="72"/>
      <c r="G27" s="72" t="s">
        <v>1675</v>
      </c>
      <c r="H27" s="79"/>
      <c r="I27" s="26"/>
      <c r="J27" s="26"/>
    </row>
    <row r="28" spans="1:10" ht="14.25" hidden="1">
      <c r="A28" s="26"/>
      <c r="B28" s="64"/>
      <c r="C28" s="65"/>
      <c r="D28" s="65"/>
      <c r="E28" s="65"/>
      <c r="F28" s="65"/>
      <c r="G28" s="65"/>
      <c r="H28" s="79"/>
      <c r="I28" s="26"/>
      <c r="J28" s="26"/>
    </row>
    <row r="29" spans="1:10" ht="14.25" hidden="1">
      <c r="A29" s="26"/>
      <c r="B29" s="1425" t="s">
        <v>1993</v>
      </c>
      <c r="C29" s="1425"/>
      <c r="D29" s="1425"/>
      <c r="E29" s="74"/>
      <c r="F29" s="65"/>
      <c r="G29" s="65"/>
      <c r="H29" s="79"/>
      <c r="I29" s="26"/>
      <c r="J29" s="26"/>
    </row>
    <row r="30" spans="2:8" ht="14.25" hidden="1">
      <c r="B30" s="65"/>
      <c r="C30" s="65"/>
      <c r="D30" s="65"/>
      <c r="E30" s="65"/>
      <c r="F30" s="65"/>
      <c r="G30" s="65"/>
      <c r="H30" s="80"/>
    </row>
    <row r="31" spans="2:8" ht="14.25">
      <c r="B31" s="65"/>
      <c r="C31" s="65"/>
      <c r="D31" s="65"/>
      <c r="E31" s="65"/>
      <c r="F31" s="65"/>
      <c r="G31" s="65"/>
      <c r="H31" s="80"/>
    </row>
    <row r="32" spans="2:7" ht="12.75">
      <c r="B32" s="28"/>
      <c r="C32" s="28"/>
      <c r="D32" s="28"/>
      <c r="E32" s="28"/>
      <c r="F32" s="28"/>
      <c r="G32" s="28"/>
    </row>
    <row r="39" ht="12" customHeight="1"/>
    <row r="78" ht="12.75" hidden="1"/>
    <row r="79" ht="12.75" hidden="1"/>
    <row r="80" ht="12.75" hidden="1"/>
    <row r="87" ht="12.75">
      <c r="E87" s="3">
        <f>28638-4766-650</f>
        <v>23222</v>
      </c>
    </row>
    <row r="90" ht="12.75">
      <c r="E90" s="3">
        <v>23222</v>
      </c>
    </row>
    <row r="142" ht="12.75" hidden="1"/>
    <row r="183" ht="15">
      <c r="B183" s="150" t="s">
        <v>2117</v>
      </c>
    </row>
    <row r="184" ht="12.75" hidden="1"/>
    <row r="185" ht="12.75" hidden="1"/>
    <row r="186" ht="12.75" hidden="1"/>
    <row r="187" ht="12.75" hidden="1"/>
    <row r="188" ht="15">
      <c r="B188" s="150" t="s">
        <v>139</v>
      </c>
    </row>
    <row r="189" spans="2:6" ht="14.25">
      <c r="B189" s="67" t="s">
        <v>2195</v>
      </c>
      <c r="E189" s="3">
        <v>1</v>
      </c>
      <c r="F189" s="3">
        <f>D189*E189</f>
        <v>0</v>
      </c>
    </row>
    <row r="191" ht="12.75" hidden="1"/>
    <row r="192" ht="12.75" hidden="1"/>
    <row r="193"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23" ht="12.75">
      <c r="D223" s="3">
        <v>72.47</v>
      </c>
    </row>
  </sheetData>
  <sheetProtection/>
  <mergeCells count="9">
    <mergeCell ref="A12:B12"/>
    <mergeCell ref="B29:D29"/>
    <mergeCell ref="B21:D21"/>
    <mergeCell ref="A1:J1"/>
    <mergeCell ref="E2:J2"/>
    <mergeCell ref="C2:D3"/>
    <mergeCell ref="A2:A4"/>
    <mergeCell ref="B2:B4"/>
    <mergeCell ref="E3:F3"/>
  </mergeCells>
  <conditionalFormatting sqref="F5:F11 D5:D11">
    <cfRule type="cellIs" priority="4" dxfId="36" operator="greaterThan" stopIfTrue="1">
      <formula>65</formula>
    </cfRule>
  </conditionalFormatting>
  <printOptions/>
  <pageMargins left="0.6299212598425197" right="0.5511811023622047" top="1.0236220472440944" bottom="0.5905511811023623" header="0.5118110236220472" footer="0.3937007874015748"/>
  <pageSetup horizontalDpi="600" verticalDpi="600" orientation="landscape" paperSize="9" scale="80" r:id="rId1"/>
</worksheet>
</file>

<file path=xl/worksheets/sheet22.xml><?xml version="1.0" encoding="utf-8"?>
<worksheet xmlns="http://schemas.openxmlformats.org/spreadsheetml/2006/main" xmlns:r="http://schemas.openxmlformats.org/officeDocument/2006/relationships">
  <sheetPr>
    <tabColor indexed="50"/>
  </sheetPr>
  <dimension ref="A1:P47"/>
  <sheetViews>
    <sheetView showZeros="0" view="pageBreakPreview" zoomScale="85" zoomScaleSheetLayoutView="85" workbookViewId="0" topLeftCell="A19">
      <selection activeCell="J14" sqref="J14"/>
    </sheetView>
  </sheetViews>
  <sheetFormatPr defaultColWidth="9.00390625" defaultRowHeight="12.75"/>
  <cols>
    <col min="1" max="1" width="5.25390625" style="7" customWidth="1"/>
    <col min="2" max="2" width="12.375" style="7" customWidth="1"/>
    <col min="3" max="3" width="32.375" style="7" customWidth="1"/>
    <col min="4" max="5" width="13.125" style="7" customWidth="1"/>
    <col min="6" max="6" width="11.25390625" style="7" customWidth="1"/>
    <col min="7" max="7" width="11.375" style="7" customWidth="1"/>
    <col min="8" max="8" width="11.875" style="7" customWidth="1"/>
    <col min="9" max="9" width="9.00390625" style="7" customWidth="1"/>
    <col min="10" max="10" width="11.375" style="7" customWidth="1"/>
    <col min="11" max="11" width="11.625" style="7" customWidth="1"/>
    <col min="12" max="12" width="11.25390625" style="7" customWidth="1"/>
    <col min="13" max="13" width="12.125" style="7" customWidth="1"/>
    <col min="14" max="14" width="12.375" style="7" customWidth="1"/>
    <col min="15" max="16384" width="9.125" style="7" customWidth="1"/>
  </cols>
  <sheetData>
    <row r="1" spans="1:14" s="8" customFormat="1" ht="27.75" customHeight="1">
      <c r="A1" s="1620" t="s">
        <v>2013</v>
      </c>
      <c r="B1" s="1620"/>
      <c r="C1" s="1620"/>
      <c r="D1" s="1620"/>
      <c r="E1" s="1620"/>
      <c r="F1" s="1620"/>
      <c r="G1" s="1620"/>
      <c r="H1" s="1620"/>
      <c r="I1" s="1620"/>
      <c r="J1" s="1620"/>
      <c r="K1" s="1620"/>
      <c r="L1" s="1620"/>
      <c r="M1" s="1620"/>
      <c r="N1" s="1620"/>
    </row>
    <row r="2" spans="1:14" s="8" customFormat="1" ht="15" customHeight="1">
      <c r="A2" s="1600" t="s">
        <v>2082</v>
      </c>
      <c r="B2" s="1600" t="s">
        <v>2090</v>
      </c>
      <c r="C2" s="1600"/>
      <c r="D2" s="1631" t="s">
        <v>2186</v>
      </c>
      <c r="E2" s="1631"/>
      <c r="F2" s="1600" t="s">
        <v>61</v>
      </c>
      <c r="G2" s="1600"/>
      <c r="H2" s="1600"/>
      <c r="I2" s="1600"/>
      <c r="J2" s="1600"/>
      <c r="K2" s="1600"/>
      <c r="L2" s="1600"/>
      <c r="M2" s="1600"/>
      <c r="N2" s="1600"/>
    </row>
    <row r="3" spans="1:14" s="8" customFormat="1" ht="27" customHeight="1">
      <c r="A3" s="1600"/>
      <c r="B3" s="1600"/>
      <c r="C3" s="1600"/>
      <c r="D3" s="1631"/>
      <c r="E3" s="1631"/>
      <c r="F3" s="1626">
        <v>2015</v>
      </c>
      <c r="G3" s="1627"/>
      <c r="H3" s="1627"/>
      <c r="I3" s="1627"/>
      <c r="J3" s="1627"/>
      <c r="K3" s="367">
        <v>2016</v>
      </c>
      <c r="L3" s="367">
        <v>2017</v>
      </c>
      <c r="M3" s="367">
        <v>2018</v>
      </c>
      <c r="N3" s="367">
        <v>2019</v>
      </c>
    </row>
    <row r="4" spans="1:14" s="8" customFormat="1" ht="15">
      <c r="A4" s="1600"/>
      <c r="B4" s="1600"/>
      <c r="C4" s="1600"/>
      <c r="D4" s="1600" t="s">
        <v>447</v>
      </c>
      <c r="E4" s="1600" t="s">
        <v>2085</v>
      </c>
      <c r="F4" s="1600" t="s">
        <v>66</v>
      </c>
      <c r="G4" s="1600"/>
      <c r="H4" s="1600" t="s">
        <v>67</v>
      </c>
      <c r="I4" s="1600"/>
      <c r="J4" s="1600"/>
      <c r="K4" s="1600" t="s">
        <v>1873</v>
      </c>
      <c r="L4" s="1600" t="s">
        <v>1873</v>
      </c>
      <c r="M4" s="1600" t="s">
        <v>1873</v>
      </c>
      <c r="N4" s="1600" t="s">
        <v>1873</v>
      </c>
    </row>
    <row r="5" spans="1:14" s="8" customFormat="1" ht="21.75" customHeight="1">
      <c r="A5" s="1600"/>
      <c r="B5" s="1600"/>
      <c r="C5" s="1600"/>
      <c r="D5" s="1600"/>
      <c r="E5" s="1600"/>
      <c r="F5" s="1600"/>
      <c r="G5" s="1600"/>
      <c r="H5" s="1600" t="s">
        <v>2095</v>
      </c>
      <c r="I5" s="1600"/>
      <c r="J5" s="1600" t="s">
        <v>69</v>
      </c>
      <c r="K5" s="1600"/>
      <c r="L5" s="1600"/>
      <c r="M5" s="1600"/>
      <c r="N5" s="1600"/>
    </row>
    <row r="6" spans="1:14" s="8" customFormat="1" ht="31.5" customHeight="1">
      <c r="A6" s="1600"/>
      <c r="B6" s="1600"/>
      <c r="C6" s="1600"/>
      <c r="D6" s="1600"/>
      <c r="E6" s="1600"/>
      <c r="F6" s="304" t="s">
        <v>1873</v>
      </c>
      <c r="G6" s="304" t="s">
        <v>2085</v>
      </c>
      <c r="H6" s="304" t="s">
        <v>68</v>
      </c>
      <c r="I6" s="304" t="s">
        <v>2085</v>
      </c>
      <c r="J6" s="1600"/>
      <c r="K6" s="1600"/>
      <c r="L6" s="1600"/>
      <c r="M6" s="1600"/>
      <c r="N6" s="1600"/>
    </row>
    <row r="7" spans="1:14" s="8" customFormat="1" ht="12" customHeight="1">
      <c r="A7" s="738">
        <v>1</v>
      </c>
      <c r="B7" s="1629">
        <v>2</v>
      </c>
      <c r="C7" s="1629"/>
      <c r="D7" s="738">
        <v>3</v>
      </c>
      <c r="E7" s="738">
        <v>4</v>
      </c>
      <c r="F7" s="738">
        <v>5</v>
      </c>
      <c r="G7" s="738">
        <v>6</v>
      </c>
      <c r="H7" s="738">
        <v>7</v>
      </c>
      <c r="I7" s="738">
        <v>8</v>
      </c>
      <c r="J7" s="738">
        <v>9</v>
      </c>
      <c r="K7" s="738">
        <v>10</v>
      </c>
      <c r="L7" s="738">
        <v>11</v>
      </c>
      <c r="M7" s="738">
        <v>12</v>
      </c>
      <c r="N7" s="738">
        <v>13</v>
      </c>
    </row>
    <row r="8" spans="1:14" ht="41.25" customHeight="1">
      <c r="A8" s="718">
        <v>1</v>
      </c>
      <c r="B8" s="1630" t="s">
        <v>1859</v>
      </c>
      <c r="C8" s="1630"/>
      <c r="D8" s="711">
        <f>SUM(D9,D15,D21,D25,D29)</f>
        <v>349867.25135336374</v>
      </c>
      <c r="E8" s="739">
        <f>IF(D34=0,0,D8/D34)</f>
        <v>0.9828774949561451</v>
      </c>
      <c r="F8" s="711">
        <f>SUM(F9,F15,F21,F25,F29)</f>
        <v>52282.19957760334</v>
      </c>
      <c r="G8" s="720">
        <f>IF(F34=0,0,F8/F34)</f>
        <v>0.9828774949561452</v>
      </c>
      <c r="H8" s="711">
        <f>SUM(H9,H15,H21,H25,H29)</f>
        <v>0.87</v>
      </c>
      <c r="I8" s="740"/>
      <c r="J8" s="740"/>
      <c r="K8" s="711">
        <f>SUM(K9,K15,K21,K25,K29)</f>
        <v>62738.639493124</v>
      </c>
      <c r="L8" s="711">
        <f>SUM(L9,L15,L21,L25,L29)</f>
        <v>72149.4354170926</v>
      </c>
      <c r="M8" s="741">
        <f>SUM(M9,M15,M21,M25,M29)</f>
        <v>79364.37895880186</v>
      </c>
      <c r="N8" s="741">
        <f>SUM(N9,N15,N21,N25,N29)</f>
        <v>83332.59790674195</v>
      </c>
    </row>
    <row r="9" spans="1:14" ht="35.25" customHeight="1">
      <c r="A9" s="1625" t="s">
        <v>1874</v>
      </c>
      <c r="B9" s="1628" t="s">
        <v>70</v>
      </c>
      <c r="C9" s="1628"/>
      <c r="D9" s="711">
        <f>SUM(D10:D14)</f>
        <v>0</v>
      </c>
      <c r="E9" s="739">
        <f>IF(D34=0,0,D9/D34)</f>
        <v>0</v>
      </c>
      <c r="F9" s="711">
        <f>SUM(F10:F14)</f>
        <v>0</v>
      </c>
      <c r="G9" s="720">
        <f>IF(F34=0,0,F9/F34)</f>
        <v>0</v>
      </c>
      <c r="H9" s="711">
        <f>SUM(H10:H14)</f>
        <v>0</v>
      </c>
      <c r="I9" s="743"/>
      <c r="J9" s="743"/>
      <c r="K9" s="711">
        <f>SUM(K10:K14)</f>
        <v>0</v>
      </c>
      <c r="L9" s="711">
        <f>SUM(L10:L14)</f>
        <v>0</v>
      </c>
      <c r="M9" s="711">
        <f>SUM(M10:M14)</f>
        <v>0</v>
      </c>
      <c r="N9" s="711">
        <f>SUM(N10:N14)</f>
        <v>0</v>
      </c>
    </row>
    <row r="10" spans="1:14" ht="13.5" customHeight="1">
      <c r="A10" s="1625"/>
      <c r="B10" s="744" t="s">
        <v>1877</v>
      </c>
      <c r="C10" s="742" t="s">
        <v>162</v>
      </c>
      <c r="D10" s="711">
        <f>SUM(F10,K10:N10)</f>
        <v>0</v>
      </c>
      <c r="E10" s="739">
        <f>IF(D34=0,0,D10/D34)</f>
        <v>0</v>
      </c>
      <c r="F10" s="745"/>
      <c r="G10" s="720">
        <f>IF(F34=0,0,F10/F34)</f>
        <v>0</v>
      </c>
      <c r="H10" s="745"/>
      <c r="I10" s="743"/>
      <c r="J10" s="743"/>
      <c r="K10" s="745">
        <f>F10*1.5</f>
        <v>0</v>
      </c>
      <c r="L10" s="745">
        <f aca="true" t="shared" si="0" ref="L10:N12">K10*1.5</f>
        <v>0</v>
      </c>
      <c r="M10" s="745">
        <f t="shared" si="0"/>
        <v>0</v>
      </c>
      <c r="N10" s="745">
        <f t="shared" si="0"/>
        <v>0</v>
      </c>
    </row>
    <row r="11" spans="1:14" ht="13.5" customHeight="1">
      <c r="A11" s="1625"/>
      <c r="B11" s="744" t="s">
        <v>1980</v>
      </c>
      <c r="C11" s="742" t="s">
        <v>1777</v>
      </c>
      <c r="D11" s="711">
        <f>SUM(F11,K11:N11)</f>
        <v>0</v>
      </c>
      <c r="E11" s="739">
        <f>IF(D34=0,0,D11/D34)</f>
        <v>0</v>
      </c>
      <c r="F11" s="745"/>
      <c r="G11" s="720">
        <f>IF(F34=0,0,F11/F34)</f>
        <v>0</v>
      </c>
      <c r="H11" s="745"/>
      <c r="I11" s="743"/>
      <c r="J11" s="743"/>
      <c r="K11" s="745">
        <f>F11*1.5</f>
        <v>0</v>
      </c>
      <c r="L11" s="745">
        <f t="shared" si="0"/>
        <v>0</v>
      </c>
      <c r="M11" s="745">
        <f>L11*1.1</f>
        <v>0</v>
      </c>
      <c r="N11" s="745">
        <f>M11*1.2</f>
        <v>0</v>
      </c>
    </row>
    <row r="12" spans="1:14" ht="13.5" customHeight="1">
      <c r="A12" s="1625"/>
      <c r="B12" s="744" t="s">
        <v>1982</v>
      </c>
      <c r="C12" s="742" t="s">
        <v>1987</v>
      </c>
      <c r="D12" s="711">
        <f>SUM(F12,K12:N12)</f>
        <v>0</v>
      </c>
      <c r="E12" s="739">
        <f>IF(D34=0,0,D12/D34)</f>
        <v>0</v>
      </c>
      <c r="F12" s="745"/>
      <c r="G12" s="720">
        <f>IF(F34=0,0,F12/F34)</f>
        <v>0</v>
      </c>
      <c r="H12" s="745"/>
      <c r="I12" s="743"/>
      <c r="J12" s="743"/>
      <c r="K12" s="745">
        <f>F12*1.5</f>
        <v>0</v>
      </c>
      <c r="L12" s="745">
        <f t="shared" si="0"/>
        <v>0</v>
      </c>
      <c r="M12" s="745">
        <f t="shared" si="0"/>
        <v>0</v>
      </c>
      <c r="N12" s="745">
        <f t="shared" si="0"/>
        <v>0</v>
      </c>
    </row>
    <row r="13" spans="1:14" ht="14.25" customHeight="1">
      <c r="A13" s="1625"/>
      <c r="B13" s="744" t="s">
        <v>1865</v>
      </c>
      <c r="C13" s="742" t="s">
        <v>1860</v>
      </c>
      <c r="D13" s="711">
        <f>SUM(F13,K13:N13)</f>
        <v>0</v>
      </c>
      <c r="E13" s="739">
        <f>IF(D34=0,0,D13/D34)</f>
        <v>0</v>
      </c>
      <c r="F13" s="745"/>
      <c r="G13" s="720">
        <f>IF(F34=0,0,F13/F34)</f>
        <v>0</v>
      </c>
      <c r="H13" s="745"/>
      <c r="I13" s="743"/>
      <c r="J13" s="743"/>
      <c r="K13" s="745">
        <f>F13*1.5</f>
        <v>0</v>
      </c>
      <c r="L13" s="745">
        <f aca="true" t="shared" si="1" ref="L13:N14">K13*1.5</f>
        <v>0</v>
      </c>
      <c r="M13" s="745">
        <f t="shared" si="1"/>
        <v>0</v>
      </c>
      <c r="N13" s="745">
        <f t="shared" si="1"/>
        <v>0</v>
      </c>
    </row>
    <row r="14" spans="1:14" ht="32.25" customHeight="1">
      <c r="A14" s="1625"/>
      <c r="B14" s="744" t="s">
        <v>71</v>
      </c>
      <c r="C14" s="744" t="s">
        <v>72</v>
      </c>
      <c r="D14" s="711">
        <f>SUM(F14,K14:N14)</f>
        <v>0</v>
      </c>
      <c r="E14" s="720">
        <f>IF(D34=0,0,D14/D34)</f>
        <v>0</v>
      </c>
      <c r="F14" s="745"/>
      <c r="G14" s="720">
        <f>IF(F34=0,0,F14/F34)</f>
        <v>0</v>
      </c>
      <c r="H14" s="745"/>
      <c r="I14" s="743"/>
      <c r="J14" s="743"/>
      <c r="K14" s="745">
        <f>F14*1.5</f>
        <v>0</v>
      </c>
      <c r="L14" s="745">
        <f t="shared" si="1"/>
        <v>0</v>
      </c>
      <c r="M14" s="745">
        <f t="shared" si="1"/>
        <v>0</v>
      </c>
      <c r="N14" s="745">
        <f t="shared" si="1"/>
        <v>0</v>
      </c>
    </row>
    <row r="15" spans="1:14" ht="25.5" customHeight="1">
      <c r="A15" s="1625" t="s">
        <v>1875</v>
      </c>
      <c r="B15" s="1625" t="s">
        <v>73</v>
      </c>
      <c r="C15" s="1625"/>
      <c r="D15" s="711">
        <f>SUM(D16:D19)</f>
        <v>162199.49722548208</v>
      </c>
      <c r="E15" s="720">
        <f>IF(D34=0,0,D15/D34)</f>
        <v>0.45566492690998556</v>
      </c>
      <c r="F15" s="711">
        <f>SUM(F16:F19)</f>
        <v>24238.18306093667</v>
      </c>
      <c r="G15" s="720">
        <f>IF(F34=0,0,F15/F34)</f>
        <v>0.4556649269099856</v>
      </c>
      <c r="H15" s="711">
        <f>SUM(H16:H20)</f>
        <v>0</v>
      </c>
      <c r="I15" s="740"/>
      <c r="J15" s="740"/>
      <c r="K15" s="711">
        <f>SUM(K16:K19)</f>
        <v>29085.819673124002</v>
      </c>
      <c r="L15" s="711">
        <f>SUM(L16:L19)</f>
        <v>33448.6926240926</v>
      </c>
      <c r="M15" s="711">
        <f>SUM(M16:M19)</f>
        <v>36793.56188650186</v>
      </c>
      <c r="N15" s="711">
        <f>SUM(N16:N19)</f>
        <v>38633.239980826955</v>
      </c>
    </row>
    <row r="16" spans="1:14" ht="15">
      <c r="A16" s="1625"/>
      <c r="B16" s="742" t="s">
        <v>2110</v>
      </c>
      <c r="C16" s="742" t="s">
        <v>163</v>
      </c>
      <c r="D16" s="711">
        <f>SUM(F16,K16:N16)</f>
        <v>0</v>
      </c>
      <c r="E16" s="720">
        <f>IF(D34=0,0,D16/D34)</f>
        <v>0</v>
      </c>
      <c r="F16" s="745"/>
      <c r="G16" s="720">
        <f>IF(F34=0,0,F16/F34)</f>
        <v>0</v>
      </c>
      <c r="H16" s="745"/>
      <c r="I16" s="743"/>
      <c r="J16" s="743"/>
      <c r="K16" s="745">
        <f>F16*1.2</f>
        <v>0</v>
      </c>
      <c r="L16" s="745">
        <f>K16*1.15</f>
        <v>0</v>
      </c>
      <c r="M16" s="745">
        <f>L16*1.1</f>
        <v>0</v>
      </c>
      <c r="N16" s="745">
        <f>M16*1.05</f>
        <v>0</v>
      </c>
    </row>
    <row r="17" spans="1:14" ht="23.25" customHeight="1">
      <c r="A17" s="1625"/>
      <c r="B17" s="742" t="s">
        <v>1725</v>
      </c>
      <c r="C17" s="742" t="s">
        <v>1777</v>
      </c>
      <c r="D17" s="711">
        <f>SUM(F17,K17:N17)</f>
        <v>14860.9499303</v>
      </c>
      <c r="E17" s="720">
        <f>IF(D34=0,0,D17/D34)</f>
        <v>0.0417486723426123</v>
      </c>
      <c r="F17" s="745">
        <f>'6. Пров закупівлі'!F23</f>
        <v>2220.737</v>
      </c>
      <c r="G17" s="720">
        <f>IF(F34=0,0,F17/F34)</f>
        <v>0.0417486723426123</v>
      </c>
      <c r="H17" s="745"/>
      <c r="I17" s="743"/>
      <c r="J17" s="743"/>
      <c r="K17" s="745">
        <f>F17*1.2</f>
        <v>2664.8844</v>
      </c>
      <c r="L17" s="745">
        <f>K17*1.15</f>
        <v>3064.6170599999996</v>
      </c>
      <c r="M17" s="745">
        <f>L17*1.1</f>
        <v>3371.0787659999996</v>
      </c>
      <c r="N17" s="745">
        <f>M17*1.05</f>
        <v>3539.6327042999997</v>
      </c>
    </row>
    <row r="18" spans="1:14" ht="25.5" customHeight="1">
      <c r="A18" s="1625"/>
      <c r="B18" s="742" t="s">
        <v>2111</v>
      </c>
      <c r="C18" s="742" t="s">
        <v>1987</v>
      </c>
      <c r="D18" s="711">
        <f>SUM(F18,K18:N18)</f>
        <v>0</v>
      </c>
      <c r="E18" s="720">
        <f>IF(D34=0,0,D18/D34)</f>
        <v>0</v>
      </c>
      <c r="F18" s="745">
        <f>'6. Пров закупівлі'!F27</f>
        <v>0</v>
      </c>
      <c r="G18" s="720">
        <f>IF(F34=0,0,F18/F34)</f>
        <v>0</v>
      </c>
      <c r="H18" s="745"/>
      <c r="I18" s="743"/>
      <c r="J18" s="743"/>
      <c r="K18" s="745">
        <f>F18*1.2</f>
        <v>0</v>
      </c>
      <c r="L18" s="745">
        <f>K18*1.15</f>
        <v>0</v>
      </c>
      <c r="M18" s="745">
        <f>L18*1.1</f>
        <v>0</v>
      </c>
      <c r="N18" s="745">
        <f>M18*1.05</f>
        <v>0</v>
      </c>
    </row>
    <row r="19" spans="1:14" ht="15" customHeight="1">
      <c r="A19" s="1625"/>
      <c r="B19" s="744" t="s">
        <v>2112</v>
      </c>
      <c r="C19" s="742" t="s">
        <v>1860</v>
      </c>
      <c r="D19" s="711">
        <f>SUM(F19,K19:N19)</f>
        <v>147338.54729518207</v>
      </c>
      <c r="E19" s="720">
        <f>IF(D34=0,0,D19/D34)</f>
        <v>0.41391625456737324</v>
      </c>
      <c r="F19" s="745">
        <f>'6. Пров закупівлі'!F39</f>
        <v>22017.44606093667</v>
      </c>
      <c r="G19" s="720">
        <f>IF(F34=0,0,F19/F34)</f>
        <v>0.4139162545673733</v>
      </c>
      <c r="H19" s="745"/>
      <c r="I19" s="743"/>
      <c r="J19" s="743"/>
      <c r="K19" s="745">
        <f>F19*1.2</f>
        <v>26420.935273124003</v>
      </c>
      <c r="L19" s="745">
        <f>K19*1.15</f>
        <v>30384.0755640926</v>
      </c>
      <c r="M19" s="745">
        <f>L19*1.1</f>
        <v>33422.48312050186</v>
      </c>
      <c r="N19" s="745">
        <f>M19*1.05</f>
        <v>35093.60727652696</v>
      </c>
    </row>
    <row r="20" spans="1:14" ht="31.5" customHeight="1">
      <c r="A20" s="1625"/>
      <c r="B20" s="744" t="s">
        <v>74</v>
      </c>
      <c r="C20" s="744" t="s">
        <v>72</v>
      </c>
      <c r="D20" s="711">
        <f>SUM(F20,K20:N20)</f>
        <v>147338.54729518207</v>
      </c>
      <c r="E20" s="720">
        <f>IF(D34=0,0,D20/D34)</f>
        <v>0.41391625456737324</v>
      </c>
      <c r="F20" s="745">
        <f>'6. Пров закупівлі'!F39</f>
        <v>22017.44606093667</v>
      </c>
      <c r="G20" s="720">
        <f>IF(F34=0,0,F20/F34)</f>
        <v>0.4139162545673733</v>
      </c>
      <c r="H20" s="745"/>
      <c r="I20" s="743"/>
      <c r="J20" s="743"/>
      <c r="K20" s="745">
        <f>F20*1.2</f>
        <v>26420.935273124003</v>
      </c>
      <c r="L20" s="745">
        <f>K20*1.15</f>
        <v>30384.0755640926</v>
      </c>
      <c r="M20" s="745">
        <f>L20*1.1</f>
        <v>33422.48312050186</v>
      </c>
      <c r="N20" s="745">
        <f>M20*1.05</f>
        <v>35093.60727652696</v>
      </c>
    </row>
    <row r="21" spans="1:16" s="3" customFormat="1" ht="31.5" customHeight="1">
      <c r="A21" s="1625" t="s">
        <v>1952</v>
      </c>
      <c r="B21" s="1625" t="s">
        <v>75</v>
      </c>
      <c r="C21" s="1625"/>
      <c r="D21" s="711">
        <f>SUM(D22:D24)</f>
        <v>0</v>
      </c>
      <c r="E21" s="720">
        <f>IF(D34=0,0,D21/D34)</f>
        <v>0</v>
      </c>
      <c r="F21" s="711">
        <f>SUM(F22:F24)</f>
        <v>0</v>
      </c>
      <c r="G21" s="720">
        <f>IF(F34=0,0,F21/F34)</f>
        <v>0</v>
      </c>
      <c r="H21" s="711">
        <f>SUM(H22:H24)</f>
        <v>0</v>
      </c>
      <c r="I21" s="740"/>
      <c r="J21" s="740"/>
      <c r="K21" s="711">
        <f>SUM(K22:K24)</f>
        <v>0</v>
      </c>
      <c r="L21" s="711">
        <f>SUM(L22:L24)</f>
        <v>0</v>
      </c>
      <c r="M21" s="711">
        <f>SUM(M22:M24)</f>
        <v>0</v>
      </c>
      <c r="N21" s="711">
        <f>SUM(N22:N24)</f>
        <v>0</v>
      </c>
      <c r="P21" s="7"/>
    </row>
    <row r="22" spans="1:16" s="3" customFormat="1" ht="15">
      <c r="A22" s="1625"/>
      <c r="B22" s="742" t="s">
        <v>76</v>
      </c>
      <c r="C22" s="742" t="s">
        <v>162</v>
      </c>
      <c r="D22" s="711">
        <f>SUM(F22,J22:M22)</f>
        <v>0</v>
      </c>
      <c r="E22" s="720">
        <f>IF(D34=0,0,D22/D34)</f>
        <v>0</v>
      </c>
      <c r="F22" s="745"/>
      <c r="G22" s="720">
        <f>IF(F34=0,0,F22/F34)</f>
        <v>0</v>
      </c>
      <c r="H22" s="745"/>
      <c r="I22" s="743"/>
      <c r="J22" s="745"/>
      <c r="K22" s="745">
        <f>F22*1.5</f>
        <v>0</v>
      </c>
      <c r="L22" s="745">
        <f aca="true" t="shared" si="2" ref="L22:N24">K22*1.5</f>
        <v>0</v>
      </c>
      <c r="M22" s="745">
        <f t="shared" si="2"/>
        <v>0</v>
      </c>
      <c r="N22" s="746">
        <f t="shared" si="2"/>
        <v>0</v>
      </c>
      <c r="P22" s="7"/>
    </row>
    <row r="23" spans="1:16" s="3" customFormat="1" ht="15">
      <c r="A23" s="1625"/>
      <c r="B23" s="742" t="s">
        <v>77</v>
      </c>
      <c r="C23" s="742" t="s">
        <v>1777</v>
      </c>
      <c r="D23" s="711">
        <f>SUM(F23,K23:N23)</f>
        <v>0</v>
      </c>
      <c r="E23" s="720">
        <f>IF(D34=0,0,D23/D34)</f>
        <v>0</v>
      </c>
      <c r="F23" s="745"/>
      <c r="G23" s="720">
        <f>IF(F34=0,0,F23/F34)</f>
        <v>0</v>
      </c>
      <c r="H23" s="745"/>
      <c r="I23" s="743"/>
      <c r="J23" s="745"/>
      <c r="K23" s="745"/>
      <c r="L23" s="745"/>
      <c r="M23" s="745"/>
      <c r="N23" s="745"/>
      <c r="P23" s="7"/>
    </row>
    <row r="24" spans="1:16" s="3" customFormat="1" ht="17.25" customHeight="1">
      <c r="A24" s="1625"/>
      <c r="B24" s="742" t="s">
        <v>2109</v>
      </c>
      <c r="C24" s="742" t="s">
        <v>1987</v>
      </c>
      <c r="D24" s="711">
        <f>SUM(F24,J24:M24)</f>
        <v>0</v>
      </c>
      <c r="E24" s="720">
        <f>IF(D34=0,0,D24/D34)</f>
        <v>0</v>
      </c>
      <c r="F24" s="745">
        <f>'6. Пров закупівлі'!F44</f>
        <v>0</v>
      </c>
      <c r="G24" s="720">
        <f>IF(F34=0,0,F24/F34)</f>
        <v>0</v>
      </c>
      <c r="H24" s="745"/>
      <c r="I24" s="743"/>
      <c r="J24" s="745"/>
      <c r="K24" s="745">
        <f>F24*1.5</f>
        <v>0</v>
      </c>
      <c r="L24" s="745">
        <f t="shared" si="2"/>
        <v>0</v>
      </c>
      <c r="M24" s="745">
        <f t="shared" si="2"/>
        <v>0</v>
      </c>
      <c r="N24" s="746">
        <f t="shared" si="2"/>
        <v>0</v>
      </c>
      <c r="P24" s="7"/>
    </row>
    <row r="25" spans="1:16" s="3" customFormat="1" ht="25.5" customHeight="1">
      <c r="A25" s="1625" t="s">
        <v>1953</v>
      </c>
      <c r="B25" s="1625" t="s">
        <v>78</v>
      </c>
      <c r="C25" s="1625"/>
      <c r="D25" s="711">
        <f>SUM(D26:D28)</f>
        <v>3521.0101039999995</v>
      </c>
      <c r="E25" s="720">
        <f>IF(D34=0,0,D25/D34)</f>
        <v>0.00989152765041015</v>
      </c>
      <c r="F25" s="711">
        <f>SUM(F26:F28)</f>
        <v>526.16</v>
      </c>
      <c r="G25" s="720">
        <f>IF(F34=0,0,F25/F34)</f>
        <v>0.009891527650410152</v>
      </c>
      <c r="H25" s="711">
        <f>SUM(H26:H28)</f>
        <v>0</v>
      </c>
      <c r="I25" s="740"/>
      <c r="J25" s="740"/>
      <c r="K25" s="711">
        <f>SUM(K26:K28)</f>
        <v>631.3919999999999</v>
      </c>
      <c r="L25" s="711">
        <f>SUM(L26:L28)</f>
        <v>726.1007999999998</v>
      </c>
      <c r="M25" s="711">
        <f>SUM(M26:M28)</f>
        <v>798.7108799999999</v>
      </c>
      <c r="N25" s="711">
        <f>SUM(N26:N28)</f>
        <v>838.6464239999999</v>
      </c>
      <c r="P25" s="7"/>
    </row>
    <row r="26" spans="1:16" s="3" customFormat="1" ht="15">
      <c r="A26" s="1625"/>
      <c r="B26" s="742" t="s">
        <v>79</v>
      </c>
      <c r="C26" s="742" t="s">
        <v>163</v>
      </c>
      <c r="D26" s="711">
        <f>SUM(F26,K26:N26)</f>
        <v>3521.0101039999995</v>
      </c>
      <c r="E26" s="720">
        <f>IF(D34=0,0,D26/D34)</f>
        <v>0.00989152765041015</v>
      </c>
      <c r="F26" s="745">
        <f>'6. Пров закупівлі'!F48</f>
        <v>526.16</v>
      </c>
      <c r="G26" s="720">
        <f>IF(F34=0,0,F26/F34)</f>
        <v>0.009891527650410152</v>
      </c>
      <c r="H26" s="745"/>
      <c r="I26" s="743"/>
      <c r="J26" s="745"/>
      <c r="K26" s="745">
        <f>F26*1.2</f>
        <v>631.3919999999999</v>
      </c>
      <c r="L26" s="745">
        <f>K26*1.15</f>
        <v>726.1007999999998</v>
      </c>
      <c r="M26" s="745">
        <f>L26*1.1</f>
        <v>798.7108799999999</v>
      </c>
      <c r="N26" s="745">
        <f>M26*1.05</f>
        <v>838.6464239999999</v>
      </c>
      <c r="P26" s="7"/>
    </row>
    <row r="27" spans="1:16" s="3" customFormat="1" ht="15">
      <c r="A27" s="1625"/>
      <c r="B27" s="742" t="s">
        <v>80</v>
      </c>
      <c r="C27" s="742" t="s">
        <v>1777</v>
      </c>
      <c r="D27" s="711">
        <f>SUM(F27,K27:N27)</f>
        <v>0</v>
      </c>
      <c r="E27" s="720">
        <f>IF(D34=0,0,D27/D34)</f>
        <v>0</v>
      </c>
      <c r="F27" s="745"/>
      <c r="G27" s="720">
        <f>IF(F34=0,0,F27/F34)</f>
        <v>0</v>
      </c>
      <c r="H27" s="745"/>
      <c r="I27" s="743"/>
      <c r="J27" s="745"/>
      <c r="K27" s="745"/>
      <c r="L27" s="745"/>
      <c r="M27" s="745"/>
      <c r="N27" s="745"/>
      <c r="P27" s="7"/>
    </row>
    <row r="28" spans="1:16" s="3" customFormat="1" ht="15">
      <c r="A28" s="1625"/>
      <c r="B28" s="742" t="s">
        <v>81</v>
      </c>
      <c r="C28" s="742" t="s">
        <v>1987</v>
      </c>
      <c r="D28" s="711">
        <f>SUM(F28,K28:N28)</f>
        <v>0</v>
      </c>
      <c r="E28" s="720">
        <f>IF(D34=0,0,D28/D34)</f>
        <v>0</v>
      </c>
      <c r="F28" s="745"/>
      <c r="G28" s="720">
        <f>IF(F34=0,0,F28/F34)</f>
        <v>0</v>
      </c>
      <c r="H28" s="745"/>
      <c r="I28" s="743"/>
      <c r="J28" s="745"/>
      <c r="K28" s="745"/>
      <c r="L28" s="745"/>
      <c r="M28" s="745"/>
      <c r="N28" s="745"/>
      <c r="P28" s="7"/>
    </row>
    <row r="29" spans="1:16" s="3" customFormat="1" ht="27" customHeight="1">
      <c r="A29" s="1625" t="s">
        <v>1954</v>
      </c>
      <c r="B29" s="1625" t="s">
        <v>2113</v>
      </c>
      <c r="C29" s="1625"/>
      <c r="D29" s="711">
        <f>SUM(D30:D32)</f>
        <v>184146.74402388168</v>
      </c>
      <c r="E29" s="720">
        <f>IF(D34=0,0,D29/D34)</f>
        <v>0.5173210403957494</v>
      </c>
      <c r="F29" s="711">
        <f>SUM(F30:F32)</f>
        <v>27517.856516666667</v>
      </c>
      <c r="G29" s="720">
        <f>IF(F34=0,0,F29/F34)</f>
        <v>0.5173210403957494</v>
      </c>
      <c r="H29" s="709">
        <f>SUM(H30:H32)</f>
        <v>0.87</v>
      </c>
      <c r="I29" s="740"/>
      <c r="J29" s="740"/>
      <c r="K29" s="711">
        <f>SUM(K30:K32)</f>
        <v>33021.42782</v>
      </c>
      <c r="L29" s="711">
        <f>SUM(L30:L32)</f>
        <v>37974.641993</v>
      </c>
      <c r="M29" s="711">
        <f>SUM(M30:M32)</f>
        <v>41772.1061923</v>
      </c>
      <c r="N29" s="711">
        <f>SUM(N30:N32)</f>
        <v>43860.71150191501</v>
      </c>
      <c r="P29" s="7"/>
    </row>
    <row r="30" spans="1:16" s="3" customFormat="1" ht="15">
      <c r="A30" s="1625"/>
      <c r="B30" s="742" t="s">
        <v>2114</v>
      </c>
      <c r="C30" s="742" t="s">
        <v>163</v>
      </c>
      <c r="D30" s="711">
        <f>SUM(F30,K30:N30)</f>
        <v>118304.47073388168</v>
      </c>
      <c r="E30" s="720">
        <f>IF(D34=0,0,D30/D34)</f>
        <v>0.33235120288406</v>
      </c>
      <c r="F30" s="745">
        <f>'6. Пров закупівлі'!F55</f>
        <v>17678.756516666668</v>
      </c>
      <c r="G30" s="720">
        <f>IF(F34=0,0,F30/F34)</f>
        <v>0.33235120288406</v>
      </c>
      <c r="H30" s="745">
        <v>0.73</v>
      </c>
      <c r="I30" s="743"/>
      <c r="J30" s="745">
        <v>13</v>
      </c>
      <c r="K30" s="745">
        <f>F30*1.2</f>
        <v>21214.507820000003</v>
      </c>
      <c r="L30" s="745">
        <f>K30*1.15</f>
        <v>24396.683993000002</v>
      </c>
      <c r="M30" s="745">
        <f>L30*1.1</f>
        <v>26836.352392300003</v>
      </c>
      <c r="N30" s="745">
        <f>M30*1.05</f>
        <v>28178.170011915005</v>
      </c>
      <c r="P30" s="7"/>
    </row>
    <row r="31" spans="1:16" s="3" customFormat="1" ht="15">
      <c r="A31" s="1625"/>
      <c r="B31" s="742" t="s">
        <v>2115</v>
      </c>
      <c r="C31" s="742" t="s">
        <v>1777</v>
      </c>
      <c r="D31" s="711">
        <f>SUM(F31,K31:N31)</f>
        <v>65842.27329</v>
      </c>
      <c r="E31" s="720">
        <f>IF(D34=0,0,D31/D34)</f>
        <v>0.18496983751168944</v>
      </c>
      <c r="F31" s="745">
        <f>'6. Пров закупівлі'!F60</f>
        <v>9839.099999999999</v>
      </c>
      <c r="G31" s="720">
        <f>IF(F34=0,0,F31/F34)</f>
        <v>0.1849698375116894</v>
      </c>
      <c r="H31" s="745">
        <v>0.14</v>
      </c>
      <c r="I31" s="743"/>
      <c r="J31" s="745">
        <v>13.5</v>
      </c>
      <c r="K31" s="745">
        <f>F31*1.2</f>
        <v>11806.919999999998</v>
      </c>
      <c r="L31" s="745">
        <f>K31*1.15</f>
        <v>13577.957999999997</v>
      </c>
      <c r="M31" s="745">
        <f>L31*1.1</f>
        <v>14935.753799999999</v>
      </c>
      <c r="N31" s="745">
        <f>M31*1.05</f>
        <v>15682.54149</v>
      </c>
      <c r="P31" s="7"/>
    </row>
    <row r="32" spans="1:16" s="3" customFormat="1" ht="15">
      <c r="A32" s="1625"/>
      <c r="B32" s="742" t="s">
        <v>82</v>
      </c>
      <c r="C32" s="742" t="s">
        <v>1987</v>
      </c>
      <c r="D32" s="711">
        <f>SUM(F32,K32:N32)</f>
        <v>0</v>
      </c>
      <c r="E32" s="720">
        <f>IF(D34=0,0,D32/D34)</f>
        <v>0</v>
      </c>
      <c r="F32" s="745"/>
      <c r="G32" s="720">
        <f>IF(F34=0,0,F32/F34)</f>
        <v>0</v>
      </c>
      <c r="H32" s="747"/>
      <c r="I32" s="743"/>
      <c r="J32" s="745"/>
      <c r="K32" s="745"/>
      <c r="L32" s="745"/>
      <c r="M32" s="745"/>
      <c r="N32" s="745"/>
      <c r="P32" s="7"/>
    </row>
    <row r="33" spans="1:14" ht="24.75" customHeight="1">
      <c r="A33" s="742" t="s">
        <v>1901</v>
      </c>
      <c r="B33" s="1628" t="s">
        <v>2088</v>
      </c>
      <c r="C33" s="1628"/>
      <c r="D33" s="711">
        <f>SUM(F33,K33:N33)</f>
        <v>6094.964842230833</v>
      </c>
      <c r="E33" s="720">
        <f>IF(D34=0,0,D33/D34)</f>
        <v>0.017122505043854888</v>
      </c>
      <c r="F33" s="745">
        <f>'6. Пров закупівлі'!F76</f>
        <v>910.7973583333332</v>
      </c>
      <c r="G33" s="720">
        <f>IF(F34=0,0,F33/F34)</f>
        <v>0.017122505043854888</v>
      </c>
      <c r="H33" s="745"/>
      <c r="I33" s="743"/>
      <c r="J33" s="743"/>
      <c r="K33" s="745">
        <f>F33*1.2</f>
        <v>1092.9568299999999</v>
      </c>
      <c r="L33" s="745">
        <f>K33*1.15</f>
        <v>1256.9003544999998</v>
      </c>
      <c r="M33" s="745">
        <f>L33*1.1</f>
        <v>1382.59038995</v>
      </c>
      <c r="N33" s="745">
        <f>M33*1.05</f>
        <v>1451.7199094475</v>
      </c>
    </row>
    <row r="34" spans="1:14" ht="25.5" customHeight="1">
      <c r="A34" s="748"/>
      <c r="B34" s="1628" t="s">
        <v>1681</v>
      </c>
      <c r="C34" s="1628"/>
      <c r="D34" s="711">
        <f>SUM(D8,D33)</f>
        <v>355962.2161955946</v>
      </c>
      <c r="E34" s="720">
        <f>SUM(E8,E33)</f>
        <v>1</v>
      </c>
      <c r="F34" s="711">
        <f>SUM(F8,F33)</f>
        <v>53192.996935936666</v>
      </c>
      <c r="G34" s="720">
        <f>SUM(G8,G33)</f>
        <v>1</v>
      </c>
      <c r="H34" s="711">
        <f>SUM(H8,H33)</f>
        <v>0.87</v>
      </c>
      <c r="I34" s="743"/>
      <c r="J34" s="743"/>
      <c r="K34" s="711">
        <f>SUM(K8,K33)</f>
        <v>63831.596323124</v>
      </c>
      <c r="L34" s="711">
        <f>SUM(L8,L33)</f>
        <v>73406.3357715926</v>
      </c>
      <c r="M34" s="711">
        <f>SUM(M8,M33)</f>
        <v>80746.96934875185</v>
      </c>
      <c r="N34" s="711">
        <f>SUM(N8,N33)</f>
        <v>84784.31781618946</v>
      </c>
    </row>
    <row r="35" s="8" customFormat="1" ht="12.75">
      <c r="A35" s="103"/>
    </row>
    <row r="36" spans="1:14" ht="12.75">
      <c r="A36" s="103"/>
      <c r="K36" s="100"/>
      <c r="L36" s="100"/>
      <c r="M36" s="100"/>
      <c r="N36" s="100"/>
    </row>
    <row r="37" spans="11:14" ht="12.75">
      <c r="K37" s="100"/>
      <c r="L37" s="100"/>
      <c r="M37" s="100"/>
      <c r="N37" s="100"/>
    </row>
    <row r="38" spans="11:14" ht="12.75">
      <c r="K38" s="100"/>
      <c r="L38" s="100"/>
      <c r="M38" s="100"/>
      <c r="N38" s="100"/>
    </row>
    <row r="39" spans="11:14" ht="12.75">
      <c r="K39" s="100"/>
      <c r="L39" s="100"/>
      <c r="M39" s="100"/>
      <c r="N39" s="100"/>
    </row>
    <row r="40" spans="11:14" ht="12.75">
      <c r="K40" s="100"/>
      <c r="L40" s="100"/>
      <c r="M40" s="100"/>
      <c r="N40" s="100"/>
    </row>
    <row r="41" spans="11:14" ht="12.75">
      <c r="K41" s="100"/>
      <c r="L41" s="100"/>
      <c r="M41" s="100"/>
      <c r="N41" s="100"/>
    </row>
    <row r="42" ht="12.75">
      <c r="L42" s="100"/>
    </row>
    <row r="43" spans="11:14" ht="12.75">
      <c r="K43" s="100"/>
      <c r="M43" s="100"/>
      <c r="N43" s="100"/>
    </row>
    <row r="44" ht="12.75">
      <c r="N44" s="100"/>
    </row>
    <row r="46" spans="12:14" ht="12.75">
      <c r="L46" s="100"/>
      <c r="M46" s="100"/>
      <c r="N46" s="100"/>
    </row>
    <row r="47" ht="12.75">
      <c r="L47" s="100"/>
    </row>
  </sheetData>
  <sheetProtection/>
  <mergeCells count="30">
    <mergeCell ref="B34:C34"/>
    <mergeCell ref="B33:C33"/>
    <mergeCell ref="D4:D6"/>
    <mergeCell ref="E4:E6"/>
    <mergeCell ref="H5:I5"/>
    <mergeCell ref="A1:N1"/>
    <mergeCell ref="A2:A6"/>
    <mergeCell ref="B2:C6"/>
    <mergeCell ref="D2:E3"/>
    <mergeCell ref="F2:N2"/>
    <mergeCell ref="N4:N6"/>
    <mergeCell ref="H4:J4"/>
    <mergeCell ref="M4:M6"/>
    <mergeCell ref="F4:G5"/>
    <mergeCell ref="K4:K6"/>
    <mergeCell ref="L4:L6"/>
    <mergeCell ref="J5:J6"/>
    <mergeCell ref="A9:A14"/>
    <mergeCell ref="A21:A24"/>
    <mergeCell ref="F3:J3"/>
    <mergeCell ref="B9:C9"/>
    <mergeCell ref="B7:C7"/>
    <mergeCell ref="B8:C8"/>
    <mergeCell ref="B25:C25"/>
    <mergeCell ref="A25:A28"/>
    <mergeCell ref="A29:A32"/>
    <mergeCell ref="B29:C29"/>
    <mergeCell ref="B21:C21"/>
    <mergeCell ref="A15:A20"/>
    <mergeCell ref="B15:C15"/>
  </mergeCells>
  <printOptions/>
  <pageMargins left="1.0236220472440944" right="0.4330708661417323" top="0.8267716535433072" bottom="0.15748031496062992" header="0.3937007874015748" footer="0.2755905511811024"/>
  <pageSetup horizontalDpi="600" verticalDpi="600" orientation="landscape" paperSize="9" scale="70" r:id="rId1"/>
</worksheet>
</file>

<file path=xl/worksheets/sheet23.xml><?xml version="1.0" encoding="utf-8"?>
<worksheet xmlns="http://schemas.openxmlformats.org/spreadsheetml/2006/main" xmlns:r="http://schemas.openxmlformats.org/officeDocument/2006/relationships">
  <sheetPr>
    <tabColor rgb="FF00B050"/>
  </sheetPr>
  <dimension ref="A1:R90"/>
  <sheetViews>
    <sheetView view="pageBreakPreview" zoomScaleNormal="87" zoomScaleSheetLayoutView="100" zoomScalePageLayoutView="0" workbookViewId="0" topLeftCell="A34">
      <selection activeCell="B67" sqref="B67"/>
    </sheetView>
  </sheetViews>
  <sheetFormatPr defaultColWidth="9.00390625" defaultRowHeight="12.75"/>
  <cols>
    <col min="1" max="1" width="8.125" style="60" customWidth="1"/>
    <col min="2" max="2" width="16.25390625" style="60" customWidth="1"/>
    <col min="3" max="3" width="42.25390625" style="60" customWidth="1"/>
    <col min="4" max="4" width="18.125" style="1088" customWidth="1"/>
    <col min="5" max="5" width="19.375" style="1088" customWidth="1"/>
    <col min="6" max="6" width="20.00390625" style="1088" customWidth="1"/>
    <col min="7" max="7" width="22.875" style="60" customWidth="1"/>
    <col min="8" max="8" width="19.375" style="60" customWidth="1"/>
    <col min="9" max="9" width="19.625" style="60" customWidth="1"/>
    <col min="10" max="10" width="13.625" style="60" customWidth="1"/>
    <col min="11" max="16384" width="9.125" style="60" customWidth="1"/>
  </cols>
  <sheetData>
    <row r="1" spans="1:18" ht="33.75" customHeight="1">
      <c r="A1" s="1632" t="s">
        <v>83</v>
      </c>
      <c r="B1" s="1632"/>
      <c r="C1" s="1633"/>
      <c r="D1" s="1633"/>
      <c r="E1" s="1633"/>
      <c r="F1" s="1633"/>
      <c r="G1" s="1633"/>
      <c r="H1" s="1633"/>
      <c r="I1" s="1633"/>
      <c r="J1" s="1633"/>
      <c r="K1" s="61"/>
      <c r="L1" s="61"/>
      <c r="M1" s="61"/>
      <c r="N1" s="61"/>
      <c r="O1" s="61"/>
      <c r="P1" s="61"/>
      <c r="Q1" s="61"/>
      <c r="R1" s="61"/>
    </row>
    <row r="2" spans="1:10" ht="28.5" customHeight="1">
      <c r="A2" s="1637" t="s">
        <v>2082</v>
      </c>
      <c r="B2" s="1637" t="s">
        <v>84</v>
      </c>
      <c r="C2" s="1637" t="s">
        <v>1999</v>
      </c>
      <c r="D2" s="1638" t="s">
        <v>450</v>
      </c>
      <c r="E2" s="1636" t="s">
        <v>2008</v>
      </c>
      <c r="F2" s="1636"/>
      <c r="G2" s="1634" t="s">
        <v>1896</v>
      </c>
      <c r="H2" s="1639" t="s">
        <v>1988</v>
      </c>
      <c r="I2" s="1634" t="s">
        <v>164</v>
      </c>
      <c r="J2" s="1635" t="s">
        <v>1747</v>
      </c>
    </row>
    <row r="3" spans="1:10" ht="34.5" customHeight="1">
      <c r="A3" s="1637"/>
      <c r="B3" s="1637"/>
      <c r="C3" s="1637"/>
      <c r="D3" s="1638"/>
      <c r="E3" s="764" t="s">
        <v>1909</v>
      </c>
      <c r="F3" s="764" t="s">
        <v>451</v>
      </c>
      <c r="G3" s="1634"/>
      <c r="H3" s="1639"/>
      <c r="I3" s="1634"/>
      <c r="J3" s="1635"/>
    </row>
    <row r="4" spans="1:10" ht="15">
      <c r="A4" s="749">
        <v>1</v>
      </c>
      <c r="B4" s="749">
        <v>2</v>
      </c>
      <c r="C4" s="749">
        <v>3</v>
      </c>
      <c r="D4" s="765">
        <v>4</v>
      </c>
      <c r="E4" s="765">
        <v>5</v>
      </c>
      <c r="F4" s="765">
        <v>6</v>
      </c>
      <c r="G4" s="749">
        <v>7</v>
      </c>
      <c r="H4" s="749">
        <v>8</v>
      </c>
      <c r="I4" s="749">
        <v>9</v>
      </c>
      <c r="J4" s="751">
        <v>10</v>
      </c>
    </row>
    <row r="5" spans="1:10" ht="15">
      <c r="A5" s="752" t="s">
        <v>1876</v>
      </c>
      <c r="B5" s="753"/>
      <c r="C5" s="754" t="s">
        <v>1924</v>
      </c>
      <c r="D5" s="766"/>
      <c r="E5" s="755">
        <f>E6+E8</f>
        <v>0</v>
      </c>
      <c r="F5" s="755">
        <f>F6+F8</f>
        <v>0</v>
      </c>
      <c r="G5" s="756"/>
      <c r="H5" s="756"/>
      <c r="I5" s="757"/>
      <c r="J5" s="758"/>
    </row>
    <row r="6" spans="1:10" ht="15">
      <c r="A6" s="752" t="s">
        <v>1874</v>
      </c>
      <c r="B6" s="753"/>
      <c r="C6" s="759" t="s">
        <v>1925</v>
      </c>
      <c r="D6" s="765"/>
      <c r="E6" s="756"/>
      <c r="F6" s="756"/>
      <c r="G6" s="756"/>
      <c r="H6" s="756"/>
      <c r="I6" s="757"/>
      <c r="J6" s="758"/>
    </row>
    <row r="7" spans="1:10" ht="15">
      <c r="A7" s="752" t="s">
        <v>1877</v>
      </c>
      <c r="B7" s="753"/>
      <c r="C7" s="758"/>
      <c r="D7" s="765"/>
      <c r="E7" s="760"/>
      <c r="F7" s="760"/>
      <c r="G7" s="760"/>
      <c r="H7" s="760"/>
      <c r="I7" s="761"/>
      <c r="J7" s="758"/>
    </row>
    <row r="8" spans="1:10" ht="15">
      <c r="A8" s="752" t="s">
        <v>1875</v>
      </c>
      <c r="B8" s="753"/>
      <c r="C8" s="759" t="s">
        <v>1923</v>
      </c>
      <c r="D8" s="765"/>
      <c r="E8" s="760"/>
      <c r="F8" s="760"/>
      <c r="G8" s="760"/>
      <c r="H8" s="760"/>
      <c r="I8" s="761"/>
      <c r="J8" s="758"/>
    </row>
    <row r="9" spans="1:10" ht="15">
      <c r="A9" s="752" t="s">
        <v>2110</v>
      </c>
      <c r="B9" s="753"/>
      <c r="C9" s="762"/>
      <c r="D9" s="765"/>
      <c r="E9" s="760"/>
      <c r="F9" s="760"/>
      <c r="G9" s="760"/>
      <c r="H9" s="760"/>
      <c r="I9" s="761"/>
      <c r="J9" s="758"/>
    </row>
    <row r="10" spans="1:10" ht="15">
      <c r="A10" s="752" t="s">
        <v>1901</v>
      </c>
      <c r="B10" s="753"/>
      <c r="C10" s="754" t="s">
        <v>1926</v>
      </c>
      <c r="D10" s="766"/>
      <c r="E10" s="755">
        <f>E11+E13</f>
        <v>3.016</v>
      </c>
      <c r="F10" s="755">
        <f>F11+F13</f>
        <v>2220.737</v>
      </c>
      <c r="G10" s="756"/>
      <c r="H10" s="756"/>
      <c r="I10" s="757"/>
      <c r="J10" s="758"/>
    </row>
    <row r="11" spans="1:10" ht="15">
      <c r="A11" s="752" t="s">
        <v>1878</v>
      </c>
      <c r="B11" s="753"/>
      <c r="C11" s="759" t="s">
        <v>1925</v>
      </c>
      <c r="D11" s="765"/>
      <c r="E11" s="756"/>
      <c r="F11" s="756"/>
      <c r="G11" s="756"/>
      <c r="H11" s="756"/>
      <c r="I11" s="757"/>
      <c r="J11" s="758"/>
    </row>
    <row r="12" spans="1:10" ht="15" customHeight="1">
      <c r="A12" s="752" t="s">
        <v>1879</v>
      </c>
      <c r="B12" s="753"/>
      <c r="C12" s="763"/>
      <c r="D12" s="765"/>
      <c r="E12" s="760"/>
      <c r="F12" s="760"/>
      <c r="G12" s="760"/>
      <c r="H12" s="760"/>
      <c r="I12" s="761"/>
      <c r="J12" s="758"/>
    </row>
    <row r="13" spans="1:10" ht="16.5" customHeight="1">
      <c r="A13" s="752" t="s">
        <v>1880</v>
      </c>
      <c r="B13" s="753"/>
      <c r="C13" s="759" t="s">
        <v>1923</v>
      </c>
      <c r="D13" s="765"/>
      <c r="E13" s="1085">
        <f>SUM(E14:E15)</f>
        <v>3.016</v>
      </c>
      <c r="F13" s="1085">
        <f>SUM(F14:F15)</f>
        <v>2220.737</v>
      </c>
      <c r="G13" s="760"/>
      <c r="H13" s="760"/>
      <c r="I13" s="761"/>
      <c r="J13" s="758"/>
    </row>
    <row r="14" spans="1:10" s="1102" customFormat="1" ht="51" customHeight="1">
      <c r="A14" s="1095" t="s">
        <v>1866</v>
      </c>
      <c r="B14" s="1096" t="s">
        <v>2271</v>
      </c>
      <c r="C14" s="1091" t="s">
        <v>2262</v>
      </c>
      <c r="D14" s="1097">
        <f>F14/E14</f>
        <v>851.3463235294116</v>
      </c>
      <c r="E14" s="1098">
        <f>'6. Пров закупівлі'!E21</f>
        <v>1.36</v>
      </c>
      <c r="F14" s="1098">
        <f>'6. Пров закупівлі'!F21</f>
        <v>1157.831</v>
      </c>
      <c r="G14" s="1099" t="s">
        <v>2316</v>
      </c>
      <c r="H14" s="1098" t="s">
        <v>830</v>
      </c>
      <c r="I14" s="1100" t="s">
        <v>2273</v>
      </c>
      <c r="J14" s="1101"/>
    </row>
    <row r="15" spans="1:10" s="1102" customFormat="1" ht="39.75" customHeight="1">
      <c r="A15" s="1095" t="s">
        <v>2270</v>
      </c>
      <c r="B15" s="1096" t="s">
        <v>2272</v>
      </c>
      <c r="C15" s="1091" t="s">
        <v>2245</v>
      </c>
      <c r="D15" s="1097">
        <f>F15/E15</f>
        <v>641.8514492753624</v>
      </c>
      <c r="E15" s="1098">
        <f>'6. Пров закупівлі'!E22</f>
        <v>1.656</v>
      </c>
      <c r="F15" s="1098">
        <f>'6. Пров закупівлі'!F22</f>
        <v>1062.906</v>
      </c>
      <c r="G15" s="1099" t="s">
        <v>2316</v>
      </c>
      <c r="H15" s="1098" t="s">
        <v>830</v>
      </c>
      <c r="I15" s="1100" t="s">
        <v>2273</v>
      </c>
      <c r="J15" s="1101"/>
    </row>
    <row r="16" spans="1:10" s="1102" customFormat="1" ht="16.5" customHeight="1">
      <c r="A16" s="1095" t="s">
        <v>1902</v>
      </c>
      <c r="B16" s="1096"/>
      <c r="C16" s="1103" t="s">
        <v>1927</v>
      </c>
      <c r="D16" s="1104"/>
      <c r="E16" s="1105">
        <f>E17+E19</f>
        <v>0</v>
      </c>
      <c r="F16" s="1105">
        <f>F17+F19</f>
        <v>0</v>
      </c>
      <c r="G16" s="1106"/>
      <c r="H16" s="1106"/>
      <c r="I16" s="1107"/>
      <c r="J16" s="1101"/>
    </row>
    <row r="17" spans="1:10" s="1102" customFormat="1" ht="15">
      <c r="A17" s="1095" t="s">
        <v>1881</v>
      </c>
      <c r="B17" s="1096"/>
      <c r="C17" s="1089" t="s">
        <v>1925</v>
      </c>
      <c r="D17" s="1097"/>
      <c r="E17" s="1106"/>
      <c r="F17" s="1106"/>
      <c r="G17" s="1106"/>
      <c r="H17" s="1106"/>
      <c r="I17" s="1107"/>
      <c r="J17" s="1101"/>
    </row>
    <row r="18" spans="1:10" s="1102" customFormat="1" ht="15">
      <c r="A18" s="1095" t="s">
        <v>1882</v>
      </c>
      <c r="B18" s="1096"/>
      <c r="C18" s="1089"/>
      <c r="D18" s="1097"/>
      <c r="E18" s="1098"/>
      <c r="F18" s="1098"/>
      <c r="G18" s="1098"/>
      <c r="H18" s="1098"/>
      <c r="I18" s="1100"/>
      <c r="J18" s="1101"/>
    </row>
    <row r="19" spans="1:10" s="1102" customFormat="1" ht="15" customHeight="1">
      <c r="A19" s="1095" t="s">
        <v>1883</v>
      </c>
      <c r="B19" s="1096"/>
      <c r="C19" s="1089" t="s">
        <v>1923</v>
      </c>
      <c r="D19" s="1097"/>
      <c r="E19" s="1098">
        <f>SUM(E20+E22)</f>
        <v>0</v>
      </c>
      <c r="F19" s="1098">
        <f>SUM(F20+F22)</f>
        <v>0</v>
      </c>
      <c r="G19" s="1098"/>
      <c r="H19" s="1098"/>
      <c r="I19" s="1100"/>
      <c r="J19" s="1101"/>
    </row>
    <row r="20" spans="1:10" s="1102" customFormat="1" ht="27.75" customHeight="1">
      <c r="A20" s="1095" t="s">
        <v>2105</v>
      </c>
      <c r="B20" s="1096"/>
      <c r="C20" s="1089" t="s">
        <v>85</v>
      </c>
      <c r="D20" s="1097"/>
      <c r="E20" s="1098">
        <f>SUM(E21:E21)</f>
        <v>0</v>
      </c>
      <c r="F20" s="1098">
        <f>SUM(F21:F21)</f>
        <v>0</v>
      </c>
      <c r="G20" s="1098"/>
      <c r="H20" s="1098"/>
      <c r="I20" s="1100"/>
      <c r="J20" s="1101"/>
    </row>
    <row r="21" spans="1:10" s="1102" customFormat="1" ht="17.25" customHeight="1">
      <c r="A21" s="1095" t="s">
        <v>86</v>
      </c>
      <c r="B21" s="1108"/>
      <c r="C21" s="1090"/>
      <c r="D21" s="1097"/>
      <c r="E21" s="1098"/>
      <c r="F21" s="1098"/>
      <c r="G21" s="1098"/>
      <c r="H21" s="1098"/>
      <c r="I21" s="1100"/>
      <c r="J21" s="1101"/>
    </row>
    <row r="22" spans="1:10" s="1102" customFormat="1" ht="27.75" customHeight="1">
      <c r="A22" s="1095" t="s">
        <v>186</v>
      </c>
      <c r="B22" s="1096"/>
      <c r="C22" s="1089" t="s">
        <v>187</v>
      </c>
      <c r="D22" s="1097"/>
      <c r="E22" s="1098"/>
      <c r="F22" s="1098"/>
      <c r="G22" s="1098"/>
      <c r="H22" s="1098"/>
      <c r="I22" s="1100"/>
      <c r="J22" s="1101"/>
    </row>
    <row r="23" spans="1:10" s="1102" customFormat="1" ht="17.25" customHeight="1">
      <c r="A23" s="1095" t="s">
        <v>188</v>
      </c>
      <c r="B23" s="1096"/>
      <c r="C23" s="1091"/>
      <c r="D23" s="1097"/>
      <c r="E23" s="1098"/>
      <c r="F23" s="1098"/>
      <c r="G23" s="1098"/>
      <c r="H23" s="1098"/>
      <c r="I23" s="1100"/>
      <c r="J23" s="1101"/>
    </row>
    <row r="24" spans="1:10" s="1102" customFormat="1" ht="15">
      <c r="A24" s="1095" t="s">
        <v>1903</v>
      </c>
      <c r="B24" s="1096"/>
      <c r="C24" s="1103" t="s">
        <v>1928</v>
      </c>
      <c r="D24" s="1104"/>
      <c r="E24" s="1105">
        <f>E25+E30</f>
        <v>54.35781195588092</v>
      </c>
      <c r="F24" s="1105">
        <f>F25+F30</f>
        <v>20475.39306093667</v>
      </c>
      <c r="G24" s="1106"/>
      <c r="H24" s="1106"/>
      <c r="I24" s="1107"/>
      <c r="J24" s="1101"/>
    </row>
    <row r="25" spans="1:10" s="1102" customFormat="1" ht="15">
      <c r="A25" s="1095" t="s">
        <v>1884</v>
      </c>
      <c r="B25" s="1096"/>
      <c r="C25" s="1089" t="s">
        <v>1925</v>
      </c>
      <c r="D25" s="1097"/>
      <c r="E25" s="1106"/>
      <c r="F25" s="1106"/>
      <c r="G25" s="1106"/>
      <c r="H25" s="1106"/>
      <c r="I25" s="1107"/>
      <c r="J25" s="1101"/>
    </row>
    <row r="26" spans="1:10" s="1102" customFormat="1" ht="17.25" customHeight="1">
      <c r="A26" s="1095" t="s">
        <v>1885</v>
      </c>
      <c r="B26" s="1096"/>
      <c r="C26" s="1089" t="s">
        <v>1900</v>
      </c>
      <c r="D26" s="1097"/>
      <c r="E26" s="1106"/>
      <c r="F26" s="1106"/>
      <c r="G26" s="1106"/>
      <c r="H26" s="1106"/>
      <c r="I26" s="1107"/>
      <c r="J26" s="1101"/>
    </row>
    <row r="27" spans="1:10" s="1102" customFormat="1" ht="15">
      <c r="A27" s="1095" t="s">
        <v>1929</v>
      </c>
      <c r="B27" s="1096"/>
      <c r="C27" s="1089"/>
      <c r="D27" s="1097"/>
      <c r="E27" s="1098"/>
      <c r="F27" s="1098"/>
      <c r="G27" s="1098"/>
      <c r="H27" s="1098"/>
      <c r="I27" s="1100"/>
      <c r="J27" s="1101"/>
    </row>
    <row r="28" spans="1:10" s="1102" customFormat="1" ht="27.75" customHeight="1">
      <c r="A28" s="1095" t="s">
        <v>2000</v>
      </c>
      <c r="B28" s="1096"/>
      <c r="C28" s="1089" t="s">
        <v>1899</v>
      </c>
      <c r="D28" s="1097"/>
      <c r="E28" s="1098"/>
      <c r="F28" s="1098"/>
      <c r="G28" s="1098"/>
      <c r="H28" s="1098"/>
      <c r="I28" s="1100"/>
      <c r="J28" s="1101"/>
    </row>
    <row r="29" spans="1:10" s="1102" customFormat="1" ht="15">
      <c r="A29" s="1095" t="s">
        <v>2001</v>
      </c>
      <c r="B29" s="1096"/>
      <c r="C29" s="1089"/>
      <c r="D29" s="1097"/>
      <c r="E29" s="1098"/>
      <c r="F29" s="1098"/>
      <c r="G29" s="1098"/>
      <c r="H29" s="1098"/>
      <c r="I29" s="1100"/>
      <c r="J29" s="1101"/>
    </row>
    <row r="30" spans="1:10" s="1102" customFormat="1" ht="15" customHeight="1">
      <c r="A30" s="1095" t="s">
        <v>1886</v>
      </c>
      <c r="B30" s="1096"/>
      <c r="C30" s="1089" t="s">
        <v>1923</v>
      </c>
      <c r="D30" s="1097"/>
      <c r="E30" s="1098">
        <f>E31+E33</f>
        <v>54.35781195588092</v>
      </c>
      <c r="F30" s="1098">
        <f>F31+F33</f>
        <v>20475.39306093667</v>
      </c>
      <c r="G30" s="1098"/>
      <c r="H30" s="1098"/>
      <c r="I30" s="1100"/>
      <c r="J30" s="1101"/>
    </row>
    <row r="31" spans="1:10" s="1102" customFormat="1" ht="18.75" customHeight="1">
      <c r="A31" s="1095" t="s">
        <v>1794</v>
      </c>
      <c r="B31" s="1096"/>
      <c r="C31" s="1092" t="s">
        <v>165</v>
      </c>
      <c r="D31" s="1097"/>
      <c r="E31" s="1093"/>
      <c r="F31" s="1098"/>
      <c r="G31" s="1098"/>
      <c r="H31" s="1098"/>
      <c r="I31" s="1100"/>
      <c r="J31" s="1101"/>
    </row>
    <row r="32" spans="1:10" s="1102" customFormat="1" ht="16.5" customHeight="1">
      <c r="A32" s="1095" t="s">
        <v>166</v>
      </c>
      <c r="B32" s="1096"/>
      <c r="C32" s="1092"/>
      <c r="D32" s="1097"/>
      <c r="E32" s="1093"/>
      <c r="F32" s="1098"/>
      <c r="G32" s="1098"/>
      <c r="H32" s="1098"/>
      <c r="I32" s="1100"/>
      <c r="J32" s="1101"/>
    </row>
    <row r="33" spans="1:10" s="1102" customFormat="1" ht="30" customHeight="1">
      <c r="A33" s="1095" t="s">
        <v>1795</v>
      </c>
      <c r="B33" s="1096"/>
      <c r="C33" s="1092" t="s">
        <v>167</v>
      </c>
      <c r="D33" s="1097"/>
      <c r="E33" s="1098">
        <f>SUM(E34:E39)</f>
        <v>54.35781195588092</v>
      </c>
      <c r="F33" s="1098">
        <f>SUM(F34:F39)</f>
        <v>20475.39306093667</v>
      </c>
      <c r="G33" s="1098"/>
      <c r="H33" s="1098"/>
      <c r="I33" s="1100"/>
      <c r="J33" s="1101"/>
    </row>
    <row r="34" spans="1:10" s="1102" customFormat="1" ht="78" customHeight="1">
      <c r="A34" s="1095" t="s">
        <v>168</v>
      </c>
      <c r="B34" s="1096"/>
      <c r="C34" s="1090" t="s">
        <v>654</v>
      </c>
      <c r="D34" s="1097">
        <f>'6. Пров закупівлі'!D29</f>
        <v>355.329</v>
      </c>
      <c r="E34" s="1109">
        <f>F34/D34</f>
        <v>29.013002034734008</v>
      </c>
      <c r="F34" s="1098">
        <f>'6. Пров закупівлі'!F29</f>
        <v>10309.161</v>
      </c>
      <c r="G34" s="1099" t="s">
        <v>2316</v>
      </c>
      <c r="H34" s="1098" t="s">
        <v>830</v>
      </c>
      <c r="I34" s="1110" t="s">
        <v>2248</v>
      </c>
      <c r="J34" s="1101"/>
    </row>
    <row r="35" spans="1:10" s="1102" customFormat="1" ht="78" customHeight="1">
      <c r="A35" s="1095" t="s">
        <v>2274</v>
      </c>
      <c r="B35" s="1096"/>
      <c r="C35" s="1090" t="s">
        <v>2264</v>
      </c>
      <c r="D35" s="1097">
        <f>F35/E35</f>
        <v>415.59630064246863</v>
      </c>
      <c r="E35" s="1109">
        <f>'6. Пров закупівлі'!E30</f>
        <v>20.966</v>
      </c>
      <c r="F35" s="1098">
        <f>'6. Пров закупівлі'!F30</f>
        <v>8713.392039269998</v>
      </c>
      <c r="G35" s="1099" t="s">
        <v>2316</v>
      </c>
      <c r="H35" s="1098" t="s">
        <v>830</v>
      </c>
      <c r="I35" s="1110" t="s">
        <v>2275</v>
      </c>
      <c r="J35" s="1101"/>
    </row>
    <row r="36" spans="1:10" s="1102" customFormat="1" ht="78" customHeight="1">
      <c r="A36" s="1095" t="s">
        <v>2377</v>
      </c>
      <c r="B36" s="1096"/>
      <c r="C36" s="1090" t="s">
        <v>2317</v>
      </c>
      <c r="D36" s="1097">
        <f>'6. Пров закупівлі'!D35</f>
        <v>287.56961</v>
      </c>
      <c r="E36" s="1109">
        <f>F36/D36</f>
        <v>1.2993841734528204</v>
      </c>
      <c r="F36" s="1098">
        <f>'6. Пров закупівлі'!F35</f>
        <v>373.6633999999999</v>
      </c>
      <c r="G36" s="1099" t="s">
        <v>2384</v>
      </c>
      <c r="H36" s="1098" t="s">
        <v>830</v>
      </c>
      <c r="I36" s="1110" t="s">
        <v>2385</v>
      </c>
      <c r="J36" s="1101"/>
    </row>
    <row r="37" spans="1:10" s="1102" customFormat="1" ht="78" customHeight="1">
      <c r="A37" s="1095" t="s">
        <v>2378</v>
      </c>
      <c r="B37" s="1096"/>
      <c r="C37" s="1090" t="s">
        <v>2321</v>
      </c>
      <c r="D37" s="1097">
        <f>'6. Пров закупівлі'!D36</f>
        <v>414.49662</v>
      </c>
      <c r="E37" s="1109">
        <f>F37/D37</f>
        <v>0.8523499942331657</v>
      </c>
      <c r="F37" s="1098">
        <f>'6. Пров закупівлі'!F36</f>
        <v>353.2961916666667</v>
      </c>
      <c r="G37" s="1099" t="s">
        <v>2384</v>
      </c>
      <c r="H37" s="1098" t="s">
        <v>830</v>
      </c>
      <c r="I37" s="1110" t="s">
        <v>2386</v>
      </c>
      <c r="J37" s="1101"/>
    </row>
    <row r="38" spans="1:10" s="1102" customFormat="1" ht="78" customHeight="1">
      <c r="A38" s="1095" t="s">
        <v>2379</v>
      </c>
      <c r="B38" s="1096"/>
      <c r="C38" s="1090" t="s">
        <v>2324</v>
      </c>
      <c r="D38" s="1097">
        <f>'6. Пров закупівлі'!D37</f>
        <v>345.11346</v>
      </c>
      <c r="E38" s="1109">
        <f>F38/D38</f>
        <v>1.2858794612067588</v>
      </c>
      <c r="F38" s="1098">
        <f>'6. Пров закупівлі'!F37</f>
        <v>443.77431000000024</v>
      </c>
      <c r="G38" s="1099" t="s">
        <v>2384</v>
      </c>
      <c r="H38" s="1098" t="s">
        <v>830</v>
      </c>
      <c r="I38" s="1110" t="s">
        <v>2388</v>
      </c>
      <c r="J38" s="1101"/>
    </row>
    <row r="39" spans="1:10" s="1102" customFormat="1" ht="78" customHeight="1">
      <c r="A39" s="1095" t="s">
        <v>2380</v>
      </c>
      <c r="B39" s="1096"/>
      <c r="C39" s="1090" t="s">
        <v>2325</v>
      </c>
      <c r="D39" s="1097">
        <f>'6. Пров закупівлі'!D38</f>
        <v>299.73144</v>
      </c>
      <c r="E39" s="1109">
        <f>F39/D39</f>
        <v>0.9411962922541589</v>
      </c>
      <c r="F39" s="1098">
        <f>'6. Пров закупівлі'!F38</f>
        <v>282.1061199999999</v>
      </c>
      <c r="G39" s="1099" t="s">
        <v>2384</v>
      </c>
      <c r="H39" s="1098" t="s">
        <v>830</v>
      </c>
      <c r="I39" s="1110" t="s">
        <v>2387</v>
      </c>
      <c r="J39" s="1101"/>
    </row>
    <row r="40" spans="1:10" s="1102" customFormat="1" ht="15">
      <c r="A40" s="1095" t="s">
        <v>2081</v>
      </c>
      <c r="B40" s="1096"/>
      <c r="C40" s="1103" t="s">
        <v>99</v>
      </c>
      <c r="D40" s="1097"/>
      <c r="E40" s="1111">
        <f>E41+E43</f>
        <v>0</v>
      </c>
      <c r="F40" s="1111">
        <f>F41+F43</f>
        <v>0</v>
      </c>
      <c r="G40" s="1098"/>
      <c r="H40" s="1098"/>
      <c r="I40" s="1100"/>
      <c r="J40" s="1101"/>
    </row>
    <row r="41" spans="1:10" s="1102" customFormat="1" ht="15">
      <c r="A41" s="1095" t="s">
        <v>100</v>
      </c>
      <c r="B41" s="1096"/>
      <c r="C41" s="1089" t="s">
        <v>1925</v>
      </c>
      <c r="D41" s="1097"/>
      <c r="E41" s="1093"/>
      <c r="F41" s="1098"/>
      <c r="G41" s="1098"/>
      <c r="H41" s="1098"/>
      <c r="I41" s="1100"/>
      <c r="J41" s="1101"/>
    </row>
    <row r="42" spans="1:10" s="1102" customFormat="1" ht="15">
      <c r="A42" s="1095" t="s">
        <v>101</v>
      </c>
      <c r="B42" s="1096"/>
      <c r="C42" s="1092"/>
      <c r="D42" s="1097"/>
      <c r="E42" s="1093"/>
      <c r="F42" s="1098"/>
      <c r="G42" s="1098"/>
      <c r="H42" s="1098"/>
      <c r="I42" s="1100"/>
      <c r="J42" s="1101"/>
    </row>
    <row r="43" spans="1:10" s="1102" customFormat="1" ht="15">
      <c r="A43" s="1095" t="s">
        <v>102</v>
      </c>
      <c r="B43" s="1096"/>
      <c r="C43" s="1089" t="s">
        <v>1923</v>
      </c>
      <c r="D43" s="1097"/>
      <c r="E43" s="1093"/>
      <c r="F43" s="1098"/>
      <c r="G43" s="1098"/>
      <c r="H43" s="1098"/>
      <c r="I43" s="1100"/>
      <c r="J43" s="1101"/>
    </row>
    <row r="44" spans="1:10" s="1102" customFormat="1" ht="15">
      <c r="A44" s="1095" t="s">
        <v>103</v>
      </c>
      <c r="B44" s="1096"/>
      <c r="C44" s="1112"/>
      <c r="D44" s="1113"/>
      <c r="E44" s="1113"/>
      <c r="F44" s="1098"/>
      <c r="G44" s="1114"/>
      <c r="H44" s="1098"/>
      <c r="I44" s="1100"/>
      <c r="J44" s="1098"/>
    </row>
    <row r="45" spans="1:10" s="1102" customFormat="1" ht="15">
      <c r="A45" s="1115">
        <v>6</v>
      </c>
      <c r="B45" s="1096"/>
      <c r="C45" s="1103" t="s">
        <v>1930</v>
      </c>
      <c r="D45" s="1104"/>
      <c r="E45" s="1105">
        <f>E46+E48</f>
        <v>0</v>
      </c>
      <c r="F45" s="1105">
        <f>F46+F48</f>
        <v>0</v>
      </c>
      <c r="G45" s="1106"/>
      <c r="H45" s="1106"/>
      <c r="I45" s="1107"/>
      <c r="J45" s="1106"/>
    </row>
    <row r="46" spans="1:10" s="1102" customFormat="1" ht="15">
      <c r="A46" s="1095" t="s">
        <v>2010</v>
      </c>
      <c r="B46" s="1096"/>
      <c r="C46" s="1089" t="s">
        <v>1925</v>
      </c>
      <c r="D46" s="1097"/>
      <c r="E46" s="1097"/>
      <c r="F46" s="1098"/>
      <c r="G46" s="1098"/>
      <c r="H46" s="1098"/>
      <c r="I46" s="1100"/>
      <c r="J46" s="1098"/>
    </row>
    <row r="47" spans="1:10" s="1102" customFormat="1" ht="15" customHeight="1">
      <c r="A47" s="1095" t="s">
        <v>87</v>
      </c>
      <c r="B47" s="1096"/>
      <c r="C47" s="1089"/>
      <c r="D47" s="1097"/>
      <c r="E47" s="1097"/>
      <c r="F47" s="1098"/>
      <c r="G47" s="1098"/>
      <c r="H47" s="1098"/>
      <c r="I47" s="1100"/>
      <c r="J47" s="1098"/>
    </row>
    <row r="48" spans="1:10" s="1102" customFormat="1" ht="15">
      <c r="A48" s="1095" t="s">
        <v>2011</v>
      </c>
      <c r="B48" s="1096"/>
      <c r="C48" s="1089" t="s">
        <v>1923</v>
      </c>
      <c r="D48" s="1097"/>
      <c r="E48" s="1097"/>
      <c r="F48" s="1098"/>
      <c r="G48" s="1098"/>
      <c r="H48" s="1098"/>
      <c r="I48" s="1100"/>
      <c r="J48" s="1098"/>
    </row>
    <row r="49" spans="1:10" s="1102" customFormat="1" ht="15">
      <c r="A49" s="1095" t="s">
        <v>1931</v>
      </c>
      <c r="B49" s="1096"/>
      <c r="C49" s="1101"/>
      <c r="D49" s="1106"/>
      <c r="E49" s="1097"/>
      <c r="F49" s="1098"/>
      <c r="G49" s="1098"/>
      <c r="H49" s="1098"/>
      <c r="I49" s="1100"/>
      <c r="J49" s="1098"/>
    </row>
    <row r="50" spans="1:10" s="1102" customFormat="1" ht="15">
      <c r="A50" s="1095" t="s">
        <v>1904</v>
      </c>
      <c r="B50" s="1096"/>
      <c r="C50" s="1103" t="s">
        <v>1932</v>
      </c>
      <c r="D50" s="1104"/>
      <c r="E50" s="1105">
        <f>E51+E53</f>
        <v>0</v>
      </c>
      <c r="F50" s="1105">
        <f>F51+F53</f>
        <v>0</v>
      </c>
      <c r="G50" s="1106"/>
      <c r="H50" s="1106"/>
      <c r="I50" s="1107"/>
      <c r="J50" s="1101"/>
    </row>
    <row r="51" spans="1:10" s="1102" customFormat="1" ht="15">
      <c r="A51" s="1095" t="s">
        <v>1887</v>
      </c>
      <c r="B51" s="1096"/>
      <c r="C51" s="1089" t="s">
        <v>1925</v>
      </c>
      <c r="D51" s="1097"/>
      <c r="E51" s="1106"/>
      <c r="F51" s="1106"/>
      <c r="G51" s="1106"/>
      <c r="H51" s="1106"/>
      <c r="I51" s="1107"/>
      <c r="J51" s="1101"/>
    </row>
    <row r="52" spans="1:10" s="1102" customFormat="1" ht="15">
      <c r="A52" s="1095" t="s">
        <v>1949</v>
      </c>
      <c r="B52" s="1096"/>
      <c r="C52" s="1089"/>
      <c r="D52" s="1097"/>
      <c r="E52" s="1098"/>
      <c r="F52" s="1098"/>
      <c r="G52" s="1098"/>
      <c r="H52" s="1098"/>
      <c r="I52" s="1100"/>
      <c r="J52" s="1101"/>
    </row>
    <row r="53" spans="1:10" s="1102" customFormat="1" ht="13.5" customHeight="1">
      <c r="A53" s="1095" t="s">
        <v>1888</v>
      </c>
      <c r="B53" s="1096"/>
      <c r="C53" s="1089" t="s">
        <v>1923</v>
      </c>
      <c r="D53" s="1097"/>
      <c r="E53" s="1098">
        <f>SUM(E54:E54)</f>
        <v>0</v>
      </c>
      <c r="F53" s="1098">
        <f>SUM(F54:F54)</f>
        <v>0</v>
      </c>
      <c r="G53" s="1098"/>
      <c r="H53" s="1098"/>
      <c r="I53" s="1100"/>
      <c r="J53" s="1101"/>
    </row>
    <row r="54" spans="1:10" s="1102" customFormat="1" ht="15.75" customHeight="1">
      <c r="A54" s="1095" t="s">
        <v>1889</v>
      </c>
      <c r="B54" s="1096"/>
      <c r="C54" s="1091"/>
      <c r="D54" s="1106"/>
      <c r="E54" s="1098"/>
      <c r="F54" s="1098"/>
      <c r="G54" s="1100"/>
      <c r="H54" s="1098"/>
      <c r="I54" s="1100"/>
      <c r="J54" s="1101"/>
    </row>
    <row r="55" spans="1:10" s="1102" customFormat="1" ht="15">
      <c r="A55" s="1095" t="s">
        <v>1905</v>
      </c>
      <c r="B55" s="1096"/>
      <c r="C55" s="1103" t="s">
        <v>2124</v>
      </c>
      <c r="D55" s="1097"/>
      <c r="E55" s="1111">
        <f>E56+E58</f>
        <v>1.264</v>
      </c>
      <c r="F55" s="1111">
        <f>F56+F58</f>
        <v>1542.0529999999999</v>
      </c>
      <c r="G55" s="1116"/>
      <c r="H55" s="1098"/>
      <c r="I55" s="1100"/>
      <c r="J55" s="1101"/>
    </row>
    <row r="56" spans="1:10" s="1102" customFormat="1" ht="15">
      <c r="A56" s="1095" t="s">
        <v>88</v>
      </c>
      <c r="B56" s="1096"/>
      <c r="C56" s="1089" t="s">
        <v>1925</v>
      </c>
      <c r="D56" s="1097"/>
      <c r="E56" s="1098"/>
      <c r="F56" s="1098"/>
      <c r="G56" s="1100"/>
      <c r="H56" s="1098"/>
      <c r="I56" s="1100"/>
      <c r="J56" s="1101"/>
    </row>
    <row r="57" spans="1:10" s="1102" customFormat="1" ht="15">
      <c r="A57" s="1095" t="s">
        <v>89</v>
      </c>
      <c r="B57" s="1096"/>
      <c r="C57" s="1094"/>
      <c r="D57" s="1097"/>
      <c r="E57" s="1098"/>
      <c r="F57" s="1098"/>
      <c r="G57" s="1100"/>
      <c r="H57" s="1098"/>
      <c r="I57" s="1100"/>
      <c r="J57" s="1101"/>
    </row>
    <row r="58" spans="1:10" s="1102" customFormat="1" ht="15">
      <c r="A58" s="1095" t="s">
        <v>90</v>
      </c>
      <c r="B58" s="1096"/>
      <c r="C58" s="1089" t="s">
        <v>1923</v>
      </c>
      <c r="D58" s="1097"/>
      <c r="E58" s="1098">
        <f>SUM(E59:E62)</f>
        <v>1.264</v>
      </c>
      <c r="F58" s="1098">
        <f>SUM(F59:F62)</f>
        <v>1542.0529999999999</v>
      </c>
      <c r="G58" s="1100"/>
      <c r="H58" s="1098"/>
      <c r="I58" s="1100"/>
      <c r="J58" s="1101"/>
    </row>
    <row r="59" spans="1:10" s="1102" customFormat="1" ht="45">
      <c r="A59" s="1095" t="s">
        <v>91</v>
      </c>
      <c r="B59" s="1096" t="s">
        <v>2278</v>
      </c>
      <c r="C59" s="1089" t="s">
        <v>2265</v>
      </c>
      <c r="D59" s="1097">
        <f>F59/E59</f>
        <v>1174.8728179551122</v>
      </c>
      <c r="E59" s="1098">
        <f>'6. Пров закупівлі'!E31</f>
        <v>0.401</v>
      </c>
      <c r="F59" s="1098">
        <f>'6. Пров закупівлі'!F31</f>
        <v>471.12399999999997</v>
      </c>
      <c r="G59" s="1099" t="s">
        <v>2316</v>
      </c>
      <c r="H59" s="1098" t="s">
        <v>830</v>
      </c>
      <c r="I59" s="1100" t="s">
        <v>2279</v>
      </c>
      <c r="J59" s="1101"/>
    </row>
    <row r="60" spans="1:10" s="1102" customFormat="1" ht="30">
      <c r="A60" s="1095" t="s">
        <v>2259</v>
      </c>
      <c r="B60" s="1117">
        <v>49725</v>
      </c>
      <c r="C60" s="1089" t="s">
        <v>2266</v>
      </c>
      <c r="D60" s="1097">
        <f>F60/E60</f>
        <v>1029.7789855072463</v>
      </c>
      <c r="E60" s="1098">
        <f>'6. Пров закупівлі'!E32</f>
        <v>0.276</v>
      </c>
      <c r="F60" s="1098">
        <f>'6. Пров закупівлі'!F32</f>
        <v>284.219</v>
      </c>
      <c r="G60" s="1099" t="s">
        <v>2316</v>
      </c>
      <c r="H60" s="1098" t="s">
        <v>830</v>
      </c>
      <c r="I60" s="1100" t="s">
        <v>480</v>
      </c>
      <c r="J60" s="1101"/>
    </row>
    <row r="61" spans="1:10" s="1102" customFormat="1" ht="31.5" customHeight="1">
      <c r="A61" s="1095" t="s">
        <v>2276</v>
      </c>
      <c r="B61" s="1096"/>
      <c r="C61" s="1118" t="s">
        <v>2256</v>
      </c>
      <c r="D61" s="1097">
        <f>F61/E61</f>
        <v>1624.7278911564626</v>
      </c>
      <c r="E61" s="1098">
        <f>'6. Пров закупівлі'!E33</f>
        <v>0.294</v>
      </c>
      <c r="F61" s="1098">
        <f>'6. Пров закупівлі'!F33</f>
        <v>477.67</v>
      </c>
      <c r="G61" s="1099" t="s">
        <v>2316</v>
      </c>
      <c r="H61" s="1098" t="s">
        <v>830</v>
      </c>
      <c r="I61" s="1114" t="s">
        <v>2260</v>
      </c>
      <c r="J61" s="1101"/>
    </row>
    <row r="62" spans="1:10" s="1102" customFormat="1" ht="33.75" customHeight="1">
      <c r="A62" s="1095" t="s">
        <v>2277</v>
      </c>
      <c r="B62" s="1096"/>
      <c r="C62" s="1118" t="s">
        <v>2257</v>
      </c>
      <c r="D62" s="1097">
        <f>F62/E62</f>
        <v>1054.7440273037544</v>
      </c>
      <c r="E62" s="1098">
        <f>'6. Пров закупівлі'!E34</f>
        <v>0.293</v>
      </c>
      <c r="F62" s="1098">
        <f>'6. Пров закупівлі'!F34</f>
        <v>309.04</v>
      </c>
      <c r="G62" s="1099" t="s">
        <v>2316</v>
      </c>
      <c r="H62" s="1098" t="s">
        <v>830</v>
      </c>
      <c r="I62" s="1114" t="s">
        <v>2260</v>
      </c>
      <c r="J62" s="1101"/>
    </row>
    <row r="63" spans="1:10" s="1102" customFormat="1" ht="29.25" customHeight="1">
      <c r="A63" s="1095" t="s">
        <v>1906</v>
      </c>
      <c r="B63" s="1096"/>
      <c r="C63" s="1119" t="s">
        <v>1933</v>
      </c>
      <c r="D63" s="1104"/>
      <c r="E63" s="1105">
        <f>E64+E66+E68</f>
        <v>2.625945681443243</v>
      </c>
      <c r="F63" s="1105">
        <f>F64+F66+F68</f>
        <v>18204.916516666668</v>
      </c>
      <c r="G63" s="1120"/>
      <c r="H63" s="1120"/>
      <c r="I63" s="1107"/>
      <c r="J63" s="1101"/>
    </row>
    <row r="64" spans="1:10" s="1102" customFormat="1" ht="15">
      <c r="A64" s="1095" t="s">
        <v>1890</v>
      </c>
      <c r="B64" s="1096"/>
      <c r="C64" s="1089" t="s">
        <v>1925</v>
      </c>
      <c r="D64" s="1097"/>
      <c r="E64" s="1106"/>
      <c r="F64" s="1106"/>
      <c r="G64" s="1120"/>
      <c r="H64" s="1120"/>
      <c r="I64" s="1107"/>
      <c r="J64" s="1101"/>
    </row>
    <row r="65" spans="1:10" s="1102" customFormat="1" ht="13.5" customHeight="1">
      <c r="A65" s="1095" t="s">
        <v>1891</v>
      </c>
      <c r="B65" s="1096"/>
      <c r="C65" s="1089"/>
      <c r="D65" s="1097"/>
      <c r="E65" s="1098"/>
      <c r="F65" s="1098"/>
      <c r="G65" s="1098"/>
      <c r="H65" s="1098"/>
      <c r="I65" s="1100"/>
      <c r="J65" s="1101"/>
    </row>
    <row r="66" spans="1:10" s="1102" customFormat="1" ht="14.25" customHeight="1">
      <c r="A66" s="1095" t="s">
        <v>1892</v>
      </c>
      <c r="B66" s="1096"/>
      <c r="C66" s="1089" t="s">
        <v>1923</v>
      </c>
      <c r="D66" s="1097"/>
      <c r="E66" s="1098">
        <f>SUM(E67:E67)</f>
        <v>0.26506801007556674</v>
      </c>
      <c r="F66" s="1098">
        <f>SUM(F67:F67)</f>
        <v>526.16</v>
      </c>
      <c r="G66" s="1098"/>
      <c r="H66" s="1098"/>
      <c r="I66" s="1100"/>
      <c r="J66" s="1101"/>
    </row>
    <row r="67" spans="1:10" s="1102" customFormat="1" ht="45">
      <c r="A67" s="1095" t="s">
        <v>2002</v>
      </c>
      <c r="B67" s="1107">
        <v>526</v>
      </c>
      <c r="C67" s="1094" t="s">
        <v>2326</v>
      </c>
      <c r="D67" s="1106">
        <f>'6. Пров закупівлі'!D47</f>
        <v>1985</v>
      </c>
      <c r="E67" s="1098">
        <f>F67/D67</f>
        <v>0.26506801007556674</v>
      </c>
      <c r="F67" s="1098">
        <f>'6. Пров закупівлі'!F47</f>
        <v>526.16</v>
      </c>
      <c r="G67" s="1099" t="s">
        <v>2389</v>
      </c>
      <c r="H67" s="1098" t="s">
        <v>830</v>
      </c>
      <c r="I67" s="1114" t="s">
        <v>2390</v>
      </c>
      <c r="J67" s="1101"/>
    </row>
    <row r="68" spans="1:10" s="1102" customFormat="1" ht="15">
      <c r="A68" s="1095" t="s">
        <v>1893</v>
      </c>
      <c r="B68" s="1096"/>
      <c r="C68" s="1089" t="s">
        <v>1934</v>
      </c>
      <c r="D68" s="1097"/>
      <c r="E68" s="1098">
        <f>SUM(E69:E71)</f>
        <v>2.360877671367676</v>
      </c>
      <c r="F68" s="1098">
        <f>SUM(F69:F71)</f>
        <v>17678.756516666668</v>
      </c>
      <c r="G68" s="1098"/>
      <c r="H68" s="1098"/>
      <c r="I68" s="1100"/>
      <c r="J68" s="1101"/>
    </row>
    <row r="69" spans="1:10" s="1102" customFormat="1" ht="54" customHeight="1">
      <c r="A69" s="1095" t="s">
        <v>1796</v>
      </c>
      <c r="B69" s="1117">
        <v>20601</v>
      </c>
      <c r="C69" s="1090" t="s">
        <v>2185</v>
      </c>
      <c r="D69" s="1097">
        <f>F69/E69</f>
        <v>11090.79</v>
      </c>
      <c r="E69" s="1098">
        <f>'6. Пров закупівлі'!E52</f>
        <v>1</v>
      </c>
      <c r="F69" s="1121">
        <f>'6. Пров закупівлі'!F52</f>
        <v>11090.79</v>
      </c>
      <c r="G69" s="1122" t="s">
        <v>2316</v>
      </c>
      <c r="H69" s="1098" t="s">
        <v>830</v>
      </c>
      <c r="I69" s="1100" t="s">
        <v>480</v>
      </c>
      <c r="J69" s="1101"/>
    </row>
    <row r="70" spans="1:10" s="1102" customFormat="1" ht="50.25" customHeight="1">
      <c r="A70" s="1095" t="s">
        <v>189</v>
      </c>
      <c r="B70" s="1117">
        <v>20653</v>
      </c>
      <c r="C70" s="1090" t="s">
        <v>2237</v>
      </c>
      <c r="D70" s="1097">
        <f>F70/E70</f>
        <v>6286.4</v>
      </c>
      <c r="E70" s="1098">
        <f>'6. Пров закупівлі'!E53</f>
        <v>1</v>
      </c>
      <c r="F70" s="1121">
        <f>'6. Пров закупівлі'!F53</f>
        <v>6286.4</v>
      </c>
      <c r="G70" s="1122" t="s">
        <v>2316</v>
      </c>
      <c r="H70" s="1098" t="s">
        <v>830</v>
      </c>
      <c r="I70" s="1100" t="s">
        <v>2240</v>
      </c>
      <c r="J70" s="1101"/>
    </row>
    <row r="71" spans="1:10" s="1102" customFormat="1" ht="50.25" customHeight="1">
      <c r="A71" s="1095" t="s">
        <v>2381</v>
      </c>
      <c r="B71" s="1117" t="s">
        <v>2395</v>
      </c>
      <c r="C71" s="1123" t="s">
        <v>2328</v>
      </c>
      <c r="D71" s="1097">
        <f>'6. Пров закупівлі'!D54</f>
        <v>835.6474800000001</v>
      </c>
      <c r="E71" s="1098">
        <f>F71/D71</f>
        <v>0.36087767136767607</v>
      </c>
      <c r="F71" s="1121">
        <f>'6. Пров закупівлі'!F54</f>
        <v>301.5665166666667</v>
      </c>
      <c r="G71" s="1122" t="s">
        <v>2389</v>
      </c>
      <c r="H71" s="1098" t="s">
        <v>830</v>
      </c>
      <c r="I71" s="1100" t="s">
        <v>2391</v>
      </c>
      <c r="J71" s="1101"/>
    </row>
    <row r="72" spans="1:10" s="1102" customFormat="1" ht="33" customHeight="1">
      <c r="A72" s="1095" t="s">
        <v>1907</v>
      </c>
      <c r="B72" s="1096"/>
      <c r="C72" s="1119" t="s">
        <v>1935</v>
      </c>
      <c r="D72" s="1104"/>
      <c r="E72" s="1105">
        <f>E73+E75+E77</f>
        <v>73.61314839445184</v>
      </c>
      <c r="F72" s="1105">
        <f>F73+F75+F77</f>
        <v>9839.099999999999</v>
      </c>
      <c r="G72" s="1120"/>
      <c r="H72" s="1120"/>
      <c r="I72" s="1107"/>
      <c r="J72" s="1101"/>
    </row>
    <row r="73" spans="1:10" s="1102" customFormat="1" ht="17.25" customHeight="1">
      <c r="A73" s="1095" t="s">
        <v>1894</v>
      </c>
      <c r="B73" s="1096"/>
      <c r="C73" s="1089" t="s">
        <v>1925</v>
      </c>
      <c r="D73" s="1097"/>
      <c r="E73" s="1106"/>
      <c r="F73" s="1106"/>
      <c r="G73" s="1120"/>
      <c r="H73" s="1120"/>
      <c r="I73" s="1107"/>
      <c r="J73" s="1101"/>
    </row>
    <row r="74" spans="1:10" s="1102" customFormat="1" ht="15" customHeight="1">
      <c r="A74" s="1095" t="s">
        <v>2003</v>
      </c>
      <c r="B74" s="1096"/>
      <c r="C74" s="1089"/>
      <c r="D74" s="1097"/>
      <c r="E74" s="1098"/>
      <c r="F74" s="1098"/>
      <c r="G74" s="1100"/>
      <c r="H74" s="1098"/>
      <c r="I74" s="1100"/>
      <c r="J74" s="1101"/>
    </row>
    <row r="75" spans="1:10" s="1102" customFormat="1" ht="14.25" customHeight="1">
      <c r="A75" s="1095" t="s">
        <v>1895</v>
      </c>
      <c r="B75" s="1096"/>
      <c r="C75" s="1089" t="s">
        <v>1923</v>
      </c>
      <c r="D75" s="1097"/>
      <c r="E75" s="1098">
        <f>SUM(E76:E76)</f>
        <v>0</v>
      </c>
      <c r="F75" s="1098">
        <f>SUM(F76:F76)</f>
        <v>0</v>
      </c>
      <c r="G75" s="1098"/>
      <c r="H75" s="1098"/>
      <c r="I75" s="1100"/>
      <c r="J75" s="1101"/>
    </row>
    <row r="76" spans="1:10" s="1102" customFormat="1" ht="15" customHeight="1">
      <c r="A76" s="1095" t="s">
        <v>1897</v>
      </c>
      <c r="B76" s="1096"/>
      <c r="C76" s="1090"/>
      <c r="D76" s="1097"/>
      <c r="E76" s="1098"/>
      <c r="F76" s="1098"/>
      <c r="G76" s="1098"/>
      <c r="H76" s="1098"/>
      <c r="I76" s="1100"/>
      <c r="J76" s="1101"/>
    </row>
    <row r="77" spans="1:10" s="1102" customFormat="1" ht="15">
      <c r="A77" s="1095" t="s">
        <v>1898</v>
      </c>
      <c r="B77" s="1096"/>
      <c r="C77" s="1089" t="s">
        <v>1934</v>
      </c>
      <c r="D77" s="1097"/>
      <c r="E77" s="1098">
        <f>SUM(E78:E80)</f>
        <v>73.61314839445184</v>
      </c>
      <c r="F77" s="1098">
        <f>SUM(F78:F80)</f>
        <v>9839.099999999999</v>
      </c>
      <c r="G77" s="1098"/>
      <c r="H77" s="1098"/>
      <c r="I77" s="1100"/>
      <c r="J77" s="1101"/>
    </row>
    <row r="78" spans="1:10" s="1102" customFormat="1" ht="50.25" customHeight="1">
      <c r="A78" s="1124" t="s">
        <v>1716</v>
      </c>
      <c r="B78" s="1117">
        <v>1414</v>
      </c>
      <c r="C78" s="1090" t="s">
        <v>2238</v>
      </c>
      <c r="D78" s="1097">
        <f>F78/E78</f>
        <v>4368.75</v>
      </c>
      <c r="E78" s="1098">
        <f>'6. Пров закупівлі'!E57</f>
        <v>1</v>
      </c>
      <c r="F78" s="1121">
        <f>'6. Пров закупівлі'!F57</f>
        <v>4368.75</v>
      </c>
      <c r="G78" s="1122" t="s">
        <v>2316</v>
      </c>
      <c r="H78" s="1098" t="s">
        <v>830</v>
      </c>
      <c r="I78" s="1100" t="s">
        <v>2241</v>
      </c>
      <c r="J78" s="1101"/>
    </row>
    <row r="79" spans="1:10" s="1102" customFormat="1" ht="50.25" customHeight="1">
      <c r="A79" s="1124" t="s">
        <v>2382</v>
      </c>
      <c r="B79" s="1117">
        <v>20638</v>
      </c>
      <c r="C79" s="1125" t="s">
        <v>2331</v>
      </c>
      <c r="D79" s="1097">
        <f>F79/E79</f>
        <v>4944.05</v>
      </c>
      <c r="E79" s="1098">
        <f>'6. Пров закупівлі'!E58</f>
        <v>1</v>
      </c>
      <c r="F79" s="1121">
        <f>'6. Пров закупівлі'!F58</f>
        <v>4944.05</v>
      </c>
      <c r="G79" s="1122" t="s">
        <v>2392</v>
      </c>
      <c r="H79" s="1098" t="s">
        <v>830</v>
      </c>
      <c r="I79" s="1100" t="s">
        <v>2393</v>
      </c>
      <c r="J79" s="1101"/>
    </row>
    <row r="80" spans="1:10" s="1102" customFormat="1" ht="50.25" customHeight="1">
      <c r="A80" s="1124" t="s">
        <v>2383</v>
      </c>
      <c r="B80" s="1117">
        <v>1412</v>
      </c>
      <c r="C80" s="1125" t="s">
        <v>2347</v>
      </c>
      <c r="D80" s="1097">
        <f>'6. Пров закупівлі'!D59</f>
        <v>526.3</v>
      </c>
      <c r="E80" s="1098">
        <f>A80/D80</f>
        <v>71.61314839445184</v>
      </c>
      <c r="F80" s="1121">
        <f>'6. Пров закупівлі'!F59</f>
        <v>526.3</v>
      </c>
      <c r="G80" s="1122" t="s">
        <v>2392</v>
      </c>
      <c r="H80" s="1098" t="s">
        <v>830</v>
      </c>
      <c r="I80" s="1100" t="s">
        <v>2391</v>
      </c>
      <c r="J80" s="1101"/>
    </row>
    <row r="81" spans="1:10" s="1102" customFormat="1" ht="18" customHeight="1">
      <c r="A81" s="1095" t="s">
        <v>1908</v>
      </c>
      <c r="B81" s="1096"/>
      <c r="C81" s="1119" t="s">
        <v>92</v>
      </c>
      <c r="D81" s="1097"/>
      <c r="E81" s="1111">
        <f>E82+E84+E86</f>
        <v>0</v>
      </c>
      <c r="F81" s="1111">
        <f>F82+F84+F86</f>
        <v>0</v>
      </c>
      <c r="G81" s="1098"/>
      <c r="H81" s="1098"/>
      <c r="I81" s="1100"/>
      <c r="J81" s="1101"/>
    </row>
    <row r="82" spans="1:10" s="1102" customFormat="1" ht="18.75" customHeight="1">
      <c r="A82" s="1095" t="s">
        <v>93</v>
      </c>
      <c r="B82" s="1096"/>
      <c r="C82" s="1089" t="s">
        <v>1925</v>
      </c>
      <c r="D82" s="1097"/>
      <c r="E82" s="1098">
        <f>SUM(E83)</f>
        <v>0</v>
      </c>
      <c r="F82" s="1098">
        <f>SUM(F83)</f>
        <v>0</v>
      </c>
      <c r="G82" s="1098"/>
      <c r="H82" s="1098"/>
      <c r="I82" s="1100"/>
      <c r="J82" s="1101"/>
    </row>
    <row r="83" spans="1:10" s="1102" customFormat="1" ht="20.25" customHeight="1">
      <c r="A83" s="1095" t="s">
        <v>94</v>
      </c>
      <c r="B83" s="1096"/>
      <c r="C83" s="1091"/>
      <c r="D83" s="1097"/>
      <c r="E83" s="1098"/>
      <c r="F83" s="1098"/>
      <c r="G83" s="1098"/>
      <c r="H83" s="1098"/>
      <c r="I83" s="1100"/>
      <c r="J83" s="1101"/>
    </row>
    <row r="84" spans="1:10" s="1102" customFormat="1" ht="15">
      <c r="A84" s="1095" t="s">
        <v>95</v>
      </c>
      <c r="B84" s="1096"/>
      <c r="C84" s="1089" t="s">
        <v>1923</v>
      </c>
      <c r="D84" s="1097"/>
      <c r="E84" s="1098"/>
      <c r="F84" s="1098"/>
      <c r="G84" s="1098"/>
      <c r="H84" s="1098"/>
      <c r="I84" s="1100"/>
      <c r="J84" s="1101"/>
    </row>
    <row r="85" spans="1:10" s="1102" customFormat="1" ht="15">
      <c r="A85" s="1095" t="s">
        <v>96</v>
      </c>
      <c r="B85" s="1096"/>
      <c r="C85" s="1089"/>
      <c r="D85" s="1097"/>
      <c r="E85" s="1098"/>
      <c r="F85" s="1098"/>
      <c r="G85" s="1098"/>
      <c r="H85" s="1098"/>
      <c r="I85" s="1100"/>
      <c r="J85" s="1101"/>
    </row>
    <row r="86" spans="1:10" s="1102" customFormat="1" ht="18" customHeight="1">
      <c r="A86" s="1095" t="s">
        <v>97</v>
      </c>
      <c r="B86" s="1096"/>
      <c r="C86" s="1089" t="s">
        <v>1934</v>
      </c>
      <c r="D86" s="1126"/>
      <c r="E86" s="1126"/>
      <c r="F86" s="1106"/>
      <c r="G86" s="1127"/>
      <c r="H86" s="1101"/>
      <c r="I86" s="1128"/>
      <c r="J86" s="1101"/>
    </row>
    <row r="87" spans="1:10" ht="15" customHeight="1">
      <c r="A87" s="752" t="s">
        <v>98</v>
      </c>
      <c r="B87" s="768"/>
      <c r="C87" s="759"/>
      <c r="D87" s="1086"/>
      <c r="E87" s="1086"/>
      <c r="F87" s="756"/>
      <c r="G87" s="750"/>
      <c r="H87" s="758"/>
      <c r="I87" s="767"/>
      <c r="J87" s="758"/>
    </row>
    <row r="88" spans="1:10" ht="15.75">
      <c r="A88" s="1641" t="s">
        <v>1681</v>
      </c>
      <c r="B88" s="1641"/>
      <c r="C88" s="1641"/>
      <c r="D88" s="1641"/>
      <c r="E88" s="1641"/>
      <c r="F88" s="769">
        <f>F5+F10+F16+F24+F40+F45+F50+F55+F63+F72+F81</f>
        <v>52282.19957760334</v>
      </c>
      <c r="G88" s="770" t="s">
        <v>370</v>
      </c>
      <c r="H88" s="770" t="s">
        <v>370</v>
      </c>
      <c r="I88" s="770" t="s">
        <v>370</v>
      </c>
      <c r="J88" s="770" t="s">
        <v>370</v>
      </c>
    </row>
    <row r="89" spans="1:10" ht="15">
      <c r="A89" s="1640" t="s">
        <v>104</v>
      </c>
      <c r="B89" s="1640"/>
      <c r="C89" s="1640"/>
      <c r="D89" s="1640"/>
      <c r="E89" s="1640"/>
      <c r="F89" s="1640"/>
      <c r="G89" s="1640"/>
      <c r="H89" s="1640"/>
      <c r="I89" s="1640"/>
      <c r="J89" s="1640"/>
    </row>
    <row r="90" spans="1:10" ht="15">
      <c r="A90" s="104" t="s">
        <v>105</v>
      </c>
      <c r="B90" s="104"/>
      <c r="C90" s="104"/>
      <c r="D90" s="1087"/>
      <c r="E90" s="1087"/>
      <c r="F90" s="1087"/>
      <c r="G90" s="104"/>
      <c r="H90" s="104"/>
      <c r="I90" s="104"/>
      <c r="J90" s="104"/>
    </row>
  </sheetData>
  <sheetProtection/>
  <mergeCells count="12">
    <mergeCell ref="A89:J89"/>
    <mergeCell ref="A88:E88"/>
    <mergeCell ref="A1:J1"/>
    <mergeCell ref="G2:G3"/>
    <mergeCell ref="J2:J3"/>
    <mergeCell ref="E2:F2"/>
    <mergeCell ref="B2:B3"/>
    <mergeCell ref="I2:I3"/>
    <mergeCell ref="A2:A3"/>
    <mergeCell ref="C2:C3"/>
    <mergeCell ref="D2:D3"/>
    <mergeCell ref="H2:H3"/>
  </mergeCells>
  <conditionalFormatting sqref="F69:F71">
    <cfRule type="cellIs" priority="2" dxfId="37" operator="lessThanOrEqual" stopIfTrue="1">
      <formula>0</formula>
    </cfRule>
  </conditionalFormatting>
  <conditionalFormatting sqref="F78:F80">
    <cfRule type="cellIs" priority="1" dxfId="37" operator="lessThanOrEqual" stopIfTrue="1">
      <formula>0</formula>
    </cfRule>
  </conditionalFormatting>
  <printOptions/>
  <pageMargins left="0.7874015748031497" right="0.35433070866141736" top="0.7874015748031497" bottom="0.5905511811023623" header="0.35433070866141736" footer="0.35433070866141736"/>
  <pageSetup fitToHeight="4" horizontalDpi="600" verticalDpi="600" orientation="landscape" paperSize="9" scale="65" r:id="rId1"/>
  <rowBreaks count="1" manualBreakCount="1">
    <brk id="34" max="9" man="1"/>
  </rowBreaks>
</worksheet>
</file>

<file path=xl/worksheets/sheet24.xml><?xml version="1.0" encoding="utf-8"?>
<worksheet xmlns="http://schemas.openxmlformats.org/spreadsheetml/2006/main" xmlns:r="http://schemas.openxmlformats.org/officeDocument/2006/relationships">
  <sheetPr>
    <tabColor rgb="FF00B050"/>
  </sheetPr>
  <dimension ref="A1:M23"/>
  <sheetViews>
    <sheetView view="pageBreakPreview" zoomScaleSheetLayoutView="100" zoomScalePageLayoutView="0" workbookViewId="0" topLeftCell="A4">
      <selection activeCell="M14" sqref="M14"/>
    </sheetView>
  </sheetViews>
  <sheetFormatPr defaultColWidth="9.00390625" defaultRowHeight="12.75"/>
  <cols>
    <col min="1" max="1" width="5.75390625" style="3" customWidth="1"/>
    <col min="2" max="2" width="18.125" style="3" customWidth="1"/>
    <col min="3" max="3" width="20.00390625" style="3" customWidth="1"/>
    <col min="4" max="4" width="12.125" style="3" customWidth="1"/>
    <col min="5" max="5" width="13.25390625" style="3" customWidth="1"/>
    <col min="6" max="6" width="12.375" style="3" customWidth="1"/>
    <col min="7" max="7" width="10.375" style="3" customWidth="1"/>
    <col min="8" max="8" width="12.625" style="3" customWidth="1"/>
    <col min="9" max="9" width="9.00390625" style="3" customWidth="1"/>
    <col min="10" max="10" width="11.375" style="3" customWidth="1"/>
    <col min="11" max="11" width="11.625" style="3" customWidth="1"/>
    <col min="12" max="12" width="11.25390625" style="3" customWidth="1"/>
    <col min="13" max="13" width="11.75390625" style="3" customWidth="1"/>
    <col min="14" max="16384" width="9.125" style="3" customWidth="1"/>
  </cols>
  <sheetData>
    <row r="1" spans="1:13" s="1" customFormat="1" ht="27" customHeight="1">
      <c r="A1" s="1620" t="s">
        <v>106</v>
      </c>
      <c r="B1" s="1620"/>
      <c r="C1" s="1620"/>
      <c r="D1" s="1620"/>
      <c r="E1" s="1620"/>
      <c r="F1" s="1620"/>
      <c r="G1" s="1620"/>
      <c r="H1" s="1620"/>
      <c r="I1" s="1620"/>
      <c r="J1" s="1620"/>
      <c r="K1" s="1620"/>
      <c r="L1" s="1620"/>
      <c r="M1" s="1620"/>
    </row>
    <row r="2" spans="1:13" s="1" customFormat="1" ht="18" customHeight="1">
      <c r="A2" s="1600" t="s">
        <v>2082</v>
      </c>
      <c r="B2" s="1600" t="s">
        <v>2090</v>
      </c>
      <c r="C2" s="1600"/>
      <c r="D2" s="1631" t="str">
        <f>'5.1. Буд'!D2:E3</f>
        <v>Усього на 2015 - 2019 рр. </v>
      </c>
      <c r="E2" s="1631"/>
      <c r="F2" s="1600" t="s">
        <v>2084</v>
      </c>
      <c r="G2" s="1600"/>
      <c r="H2" s="1600"/>
      <c r="I2" s="1600"/>
      <c r="J2" s="1600"/>
      <c r="K2" s="1600"/>
      <c r="L2" s="1600"/>
      <c r="M2" s="1600"/>
    </row>
    <row r="3" spans="1:13" s="2" customFormat="1" ht="27" customHeight="1">
      <c r="A3" s="1600"/>
      <c r="B3" s="1600"/>
      <c r="C3" s="1600"/>
      <c r="D3" s="1631"/>
      <c r="E3" s="1631"/>
      <c r="F3" s="1626">
        <f>'5.1. Буд'!F3:J3</f>
        <v>2015</v>
      </c>
      <c r="G3" s="1627"/>
      <c r="H3" s="1627"/>
      <c r="I3" s="1627"/>
      <c r="J3" s="367">
        <f>'5.1. Буд'!K3</f>
        <v>2016</v>
      </c>
      <c r="K3" s="367">
        <f>'5.1. Буд'!L3</f>
        <v>2017</v>
      </c>
      <c r="L3" s="367">
        <f>'5.1. Буд'!M3</f>
        <v>2018</v>
      </c>
      <c r="M3" s="367">
        <f>'5.1. Буд'!N3</f>
        <v>2019</v>
      </c>
    </row>
    <row r="4" spans="1:13" s="2" customFormat="1" ht="33" customHeight="1">
      <c r="A4" s="1600"/>
      <c r="B4" s="1600"/>
      <c r="C4" s="1600"/>
      <c r="D4" s="1596" t="s">
        <v>452</v>
      </c>
      <c r="E4" s="1600" t="s">
        <v>2085</v>
      </c>
      <c r="F4" s="1600" t="s">
        <v>66</v>
      </c>
      <c r="G4" s="1600"/>
      <c r="H4" s="1600" t="s">
        <v>107</v>
      </c>
      <c r="I4" s="1600"/>
      <c r="J4" s="1600" t="s">
        <v>1873</v>
      </c>
      <c r="K4" s="1600" t="s">
        <v>1873</v>
      </c>
      <c r="L4" s="1600" t="s">
        <v>1873</v>
      </c>
      <c r="M4" s="1600" t="s">
        <v>1873</v>
      </c>
    </row>
    <row r="5" spans="1:13" s="1" customFormat="1" ht="30.75" customHeight="1">
      <c r="A5" s="1600"/>
      <c r="B5" s="1600"/>
      <c r="C5" s="1600"/>
      <c r="D5" s="1598"/>
      <c r="E5" s="1600"/>
      <c r="F5" s="304" t="s">
        <v>1873</v>
      </c>
      <c r="G5" s="304" t="s">
        <v>2085</v>
      </c>
      <c r="H5" s="304" t="s">
        <v>68</v>
      </c>
      <c r="I5" s="304" t="s">
        <v>2085</v>
      </c>
      <c r="J5" s="1600"/>
      <c r="K5" s="1600"/>
      <c r="L5" s="1600"/>
      <c r="M5" s="1600"/>
    </row>
    <row r="6" spans="1:13" s="1" customFormat="1" ht="15">
      <c r="A6" s="738">
        <v>1</v>
      </c>
      <c r="B6" s="1629">
        <v>2</v>
      </c>
      <c r="C6" s="1629"/>
      <c r="D6" s="738">
        <v>3</v>
      </c>
      <c r="E6" s="738">
        <v>4</v>
      </c>
      <c r="F6" s="738">
        <v>5</v>
      </c>
      <c r="G6" s="738">
        <v>6</v>
      </c>
      <c r="H6" s="738">
        <v>7</v>
      </c>
      <c r="I6" s="738">
        <v>8</v>
      </c>
      <c r="J6" s="738">
        <v>9</v>
      </c>
      <c r="K6" s="738">
        <v>10</v>
      </c>
      <c r="L6" s="738">
        <v>11</v>
      </c>
      <c r="M6" s="738">
        <v>12</v>
      </c>
    </row>
    <row r="7" spans="1:13" ht="36" customHeight="1">
      <c r="A7" s="718">
        <v>1</v>
      </c>
      <c r="B7" s="1628" t="s">
        <v>108</v>
      </c>
      <c r="C7" s="1628"/>
      <c r="D7" s="711">
        <f>SUM(D8:D12,D15)</f>
        <v>39652.303699261836</v>
      </c>
      <c r="E7" s="720">
        <f>IF(D17=0,0,D7/D17)</f>
        <v>1</v>
      </c>
      <c r="F7" s="711">
        <f>SUM(F8:F12,F15)</f>
        <v>5925.4178483333335</v>
      </c>
      <c r="G7" s="720">
        <f>IF(F17=0,0,F7/F17)</f>
        <v>1</v>
      </c>
      <c r="H7" s="711">
        <f>SUM(H8:H12,H15)</f>
        <v>0.67</v>
      </c>
      <c r="I7" s="743"/>
      <c r="J7" s="711">
        <f>SUM(J8:J12,J15)</f>
        <v>7110.501418</v>
      </c>
      <c r="K7" s="711">
        <f>SUM(K8:K12,K15)</f>
        <v>8177.076630699999</v>
      </c>
      <c r="L7" s="711">
        <f>SUM(L8:L12,L15)</f>
        <v>8994.78429377</v>
      </c>
      <c r="M7" s="711">
        <f>SUM(M8:M12,M15)</f>
        <v>9444.523508458502</v>
      </c>
    </row>
    <row r="8" spans="1:13" ht="39" customHeight="1">
      <c r="A8" s="742" t="s">
        <v>1874</v>
      </c>
      <c r="B8" s="1643" t="s">
        <v>2287</v>
      </c>
      <c r="C8" s="1644"/>
      <c r="D8" s="711">
        <f>SUM(F8,J8:M8)</f>
        <v>1163.758148531</v>
      </c>
      <c r="E8" s="720">
        <f>IF(D7=0,0,D8/D7)</f>
        <v>0.02934906777062399</v>
      </c>
      <c r="F8" s="745">
        <f>'6. Пров закупівлі'!F83</f>
        <v>173.90549</v>
      </c>
      <c r="G8" s="720">
        <f>IF(F7=0,0,F8/F7)</f>
        <v>0.02934906777062399</v>
      </c>
      <c r="H8" s="745"/>
      <c r="I8" s="743"/>
      <c r="J8" s="745">
        <f>F8*1.2</f>
        <v>208.68658799999997</v>
      </c>
      <c r="K8" s="745">
        <f>J8*1.15</f>
        <v>239.98957619999996</v>
      </c>
      <c r="L8" s="745">
        <f>K8*1.1</f>
        <v>263.98853382</v>
      </c>
      <c r="M8" s="745">
        <f>L8*1.05</f>
        <v>277.18796051099997</v>
      </c>
    </row>
    <row r="9" spans="1:13" ht="54" customHeight="1">
      <c r="A9" s="742" t="s">
        <v>1875</v>
      </c>
      <c r="B9" s="1628" t="s">
        <v>109</v>
      </c>
      <c r="C9" s="1628"/>
      <c r="D9" s="711"/>
      <c r="E9" s="720"/>
      <c r="F9" s="745"/>
      <c r="G9" s="720"/>
      <c r="H9" s="745"/>
      <c r="I9" s="743"/>
      <c r="J9" s="745"/>
      <c r="K9" s="745"/>
      <c r="L9" s="745"/>
      <c r="M9" s="745"/>
    </row>
    <row r="10" spans="1:13" ht="21.75" customHeight="1">
      <c r="A10" s="1625" t="s">
        <v>113</v>
      </c>
      <c r="B10" s="1628" t="s">
        <v>169</v>
      </c>
      <c r="C10" s="718" t="s">
        <v>2091</v>
      </c>
      <c r="D10" s="711"/>
      <c r="E10" s="720"/>
      <c r="F10" s="745"/>
      <c r="G10" s="720"/>
      <c r="H10" s="745"/>
      <c r="I10" s="743"/>
      <c r="J10" s="745"/>
      <c r="K10" s="745"/>
      <c r="L10" s="745"/>
      <c r="M10" s="745"/>
    </row>
    <row r="11" spans="1:13" ht="24" customHeight="1">
      <c r="A11" s="1625"/>
      <c r="B11" s="1628"/>
      <c r="C11" s="718" t="s">
        <v>2092</v>
      </c>
      <c r="D11" s="711"/>
      <c r="E11" s="720"/>
      <c r="F11" s="745"/>
      <c r="G11" s="720"/>
      <c r="H11" s="745"/>
      <c r="I11" s="743"/>
      <c r="J11" s="745"/>
      <c r="K11" s="745"/>
      <c r="L11" s="745"/>
      <c r="M11" s="745"/>
    </row>
    <row r="12" spans="1:13" ht="34.5" customHeight="1">
      <c r="A12" s="1625" t="s">
        <v>1953</v>
      </c>
      <c r="B12" s="1628" t="s">
        <v>110</v>
      </c>
      <c r="C12" s="1628"/>
      <c r="D12" s="711">
        <f>SUM(F12,J12:M12)</f>
        <v>38488.545550730836</v>
      </c>
      <c r="E12" s="720">
        <f>IF(D7=0,0,D12/D7)</f>
        <v>0.970650932229376</v>
      </c>
      <c r="F12" s="711">
        <f>SUM(F13:F14)</f>
        <v>5751.512358333333</v>
      </c>
      <c r="G12" s="720">
        <f>IF(F7=0,0,F12/F7)</f>
        <v>0.970650932229376</v>
      </c>
      <c r="H12" s="711">
        <f>SUM(H13:H14)</f>
        <v>0.67</v>
      </c>
      <c r="I12" s="743"/>
      <c r="J12" s="711">
        <f>SUM(J13:J14)</f>
        <v>6901.81483</v>
      </c>
      <c r="K12" s="711">
        <f>SUM(K13:K14)</f>
        <v>7937.0870545</v>
      </c>
      <c r="L12" s="711">
        <f>SUM(L13:L14)</f>
        <v>8730.79575995</v>
      </c>
      <c r="M12" s="711">
        <f>SUM(M13:M14)</f>
        <v>9167.335547947501</v>
      </c>
    </row>
    <row r="13" spans="1:13" ht="15">
      <c r="A13" s="1625"/>
      <c r="B13" s="1628" t="s">
        <v>2093</v>
      </c>
      <c r="C13" s="1628"/>
      <c r="D13" s="711">
        <f>SUM(F13,J13:M13)</f>
        <v>19244.272775365418</v>
      </c>
      <c r="E13" s="720">
        <f>IF(D12=0,0,D13/D12)</f>
        <v>0.5</v>
      </c>
      <c r="F13" s="745">
        <f>'6. Пров закупівлі'!F94/2</f>
        <v>2875.7561791666667</v>
      </c>
      <c r="G13" s="720">
        <f>IF(F12=0,0,F13/F12)</f>
        <v>0.5</v>
      </c>
      <c r="H13" s="1642">
        <v>0.67</v>
      </c>
      <c r="I13" s="743"/>
      <c r="J13" s="745">
        <f>F13*1.2</f>
        <v>3450.907415</v>
      </c>
      <c r="K13" s="745">
        <f>J13*1.15</f>
        <v>3968.54352725</v>
      </c>
      <c r="L13" s="745">
        <f>K13*1.1</f>
        <v>4365.397879975</v>
      </c>
      <c r="M13" s="745">
        <f>L13*1.05</f>
        <v>4583.667773973751</v>
      </c>
    </row>
    <row r="14" spans="1:13" ht="15">
      <c r="A14" s="1625"/>
      <c r="B14" s="1628" t="s">
        <v>2094</v>
      </c>
      <c r="C14" s="1628"/>
      <c r="D14" s="711">
        <f>SUM(F14,J14:M14)</f>
        <v>19244.272775365418</v>
      </c>
      <c r="E14" s="720">
        <f>IF(D12=0,0,D14/D12)</f>
        <v>0.5</v>
      </c>
      <c r="F14" s="745">
        <f>'6. Пров закупівлі'!F94/2</f>
        <v>2875.7561791666667</v>
      </c>
      <c r="G14" s="720">
        <f>IF(F12=0,0,F14/F12)</f>
        <v>0.5</v>
      </c>
      <c r="H14" s="1642"/>
      <c r="I14" s="743"/>
      <c r="J14" s="745">
        <f>F14*1.2</f>
        <v>3450.907415</v>
      </c>
      <c r="K14" s="745">
        <f>J14*1.15</f>
        <v>3968.54352725</v>
      </c>
      <c r="L14" s="745">
        <f>K14*1.1</f>
        <v>4365.397879975</v>
      </c>
      <c r="M14" s="745">
        <f>L14*1.05</f>
        <v>4583.667773973751</v>
      </c>
    </row>
    <row r="15" spans="1:13" ht="39" customHeight="1">
      <c r="A15" s="742" t="s">
        <v>1954</v>
      </c>
      <c r="B15" s="1628" t="s">
        <v>111</v>
      </c>
      <c r="C15" s="1628"/>
      <c r="D15" s="711"/>
      <c r="E15" s="720"/>
      <c r="F15" s="745"/>
      <c r="G15" s="720"/>
      <c r="H15" s="745"/>
      <c r="I15" s="743"/>
      <c r="J15" s="745"/>
      <c r="K15" s="745"/>
      <c r="L15" s="745"/>
      <c r="M15" s="745"/>
    </row>
    <row r="16" spans="1:13" ht="23.25" customHeight="1">
      <c r="A16" s="742" t="s">
        <v>1901</v>
      </c>
      <c r="B16" s="1628" t="s">
        <v>2088</v>
      </c>
      <c r="C16" s="1628"/>
      <c r="D16" s="711"/>
      <c r="E16" s="720"/>
      <c r="F16" s="745"/>
      <c r="G16" s="720"/>
      <c r="H16" s="745"/>
      <c r="I16" s="743"/>
      <c r="J16" s="745">
        <f>(F16)*1.2</f>
        <v>0</v>
      </c>
      <c r="K16" s="745">
        <f>J16*1.15</f>
        <v>0</v>
      </c>
      <c r="L16" s="745">
        <f>K16*1.1</f>
        <v>0</v>
      </c>
      <c r="M16" s="745">
        <f>L16*1.05</f>
        <v>0</v>
      </c>
    </row>
    <row r="17" spans="1:13" ht="18.75" customHeight="1">
      <c r="A17" s="718"/>
      <c r="B17" s="1628" t="s">
        <v>1681</v>
      </c>
      <c r="C17" s="1628"/>
      <c r="D17" s="711">
        <f>SUM(D7,D16)</f>
        <v>39652.303699261836</v>
      </c>
      <c r="E17" s="720">
        <f aca="true" t="shared" si="0" ref="E17:M17">SUM(E7,E16)</f>
        <v>1</v>
      </c>
      <c r="F17" s="711">
        <f>SUM(F7,F16)</f>
        <v>5925.4178483333335</v>
      </c>
      <c r="G17" s="720">
        <f>SUM(G7,G16)</f>
        <v>1</v>
      </c>
      <c r="H17" s="711">
        <f t="shared" si="0"/>
        <v>0.67</v>
      </c>
      <c r="I17" s="743"/>
      <c r="J17" s="711">
        <f>SUM(J7,J16)</f>
        <v>7110.501418</v>
      </c>
      <c r="K17" s="711">
        <f t="shared" si="0"/>
        <v>8177.076630699999</v>
      </c>
      <c r="L17" s="711">
        <f t="shared" si="0"/>
        <v>8994.78429377</v>
      </c>
      <c r="M17" s="711">
        <f t="shared" si="0"/>
        <v>9444.523508458502</v>
      </c>
    </row>
    <row r="19" spans="10:13" ht="12.75">
      <c r="J19" s="31"/>
      <c r="K19" s="31"/>
      <c r="L19" s="31"/>
      <c r="M19" s="31"/>
    </row>
    <row r="23" ht="12.75">
      <c r="J23" s="31"/>
    </row>
  </sheetData>
  <sheetProtection/>
  <mergeCells count="28">
    <mergeCell ref="A10:A11"/>
    <mergeCell ref="B8:C8"/>
    <mergeCell ref="F2:M2"/>
    <mergeCell ref="M4:M5"/>
    <mergeCell ref="L4:L5"/>
    <mergeCell ref="B7:C7"/>
    <mergeCell ref="B6:C6"/>
    <mergeCell ref="B9:C9"/>
    <mergeCell ref="B10:B11"/>
    <mergeCell ref="F3:I3"/>
    <mergeCell ref="D2:E3"/>
    <mergeCell ref="H13:H14"/>
    <mergeCell ref="B12:C12"/>
    <mergeCell ref="B17:C17"/>
    <mergeCell ref="B13:C13"/>
    <mergeCell ref="B14:C14"/>
    <mergeCell ref="B15:C15"/>
    <mergeCell ref="B16:C16"/>
    <mergeCell ref="A12:A14"/>
    <mergeCell ref="A1:M1"/>
    <mergeCell ref="A2:A5"/>
    <mergeCell ref="B2:C5"/>
    <mergeCell ref="H4:I4"/>
    <mergeCell ref="J4:J5"/>
    <mergeCell ref="K4:K5"/>
    <mergeCell ref="F4:G4"/>
    <mergeCell ref="E4:E5"/>
    <mergeCell ref="D4:D5"/>
  </mergeCells>
  <printOptions/>
  <pageMargins left="1.1811023622047245" right="0.3937007874015748" top="0.7874015748031497" bottom="0.984251968503937" header="0.5118110236220472" footer="0.5118110236220472"/>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sheetPr>
    <tabColor rgb="FF00B050"/>
  </sheetPr>
  <dimension ref="A1:J18"/>
  <sheetViews>
    <sheetView showZeros="0" view="pageBreakPreview" zoomScaleSheetLayoutView="100" zoomScalePageLayoutView="0" workbookViewId="0" topLeftCell="A1">
      <selection activeCell="J13" sqref="J13"/>
    </sheetView>
  </sheetViews>
  <sheetFormatPr defaultColWidth="9.00390625" defaultRowHeight="12.75"/>
  <cols>
    <col min="1" max="1" width="6.375" style="3" customWidth="1"/>
    <col min="2" max="2" width="35.75390625" style="3" customWidth="1"/>
    <col min="3" max="3" width="15.00390625" style="3" customWidth="1"/>
    <col min="4" max="5" width="11.25390625" style="3" customWidth="1"/>
    <col min="6" max="6" width="11.00390625" style="3" customWidth="1"/>
    <col min="7" max="7" width="13.625" style="3" customWidth="1"/>
    <col min="8" max="8" width="13.00390625" style="3" customWidth="1"/>
    <col min="9" max="10" width="12.75390625" style="3" customWidth="1"/>
    <col min="11" max="16384" width="9.125" style="3" customWidth="1"/>
  </cols>
  <sheetData>
    <row r="1" spans="1:10" ht="27" customHeight="1">
      <c r="A1" s="1620" t="s">
        <v>114</v>
      </c>
      <c r="B1" s="1620"/>
      <c r="C1" s="1620"/>
      <c r="D1" s="1620"/>
      <c r="E1" s="1620"/>
      <c r="F1" s="1620"/>
      <c r="G1" s="1620"/>
      <c r="H1" s="1620"/>
      <c r="I1" s="1620"/>
      <c r="J1" s="1620"/>
    </row>
    <row r="2" spans="1:10" ht="21.75" customHeight="1">
      <c r="A2" s="1600" t="s">
        <v>2082</v>
      </c>
      <c r="B2" s="1600" t="s">
        <v>2090</v>
      </c>
      <c r="C2" s="1631" t="s">
        <v>2187</v>
      </c>
      <c r="D2" s="1631"/>
      <c r="E2" s="1600" t="s">
        <v>61</v>
      </c>
      <c r="F2" s="1600"/>
      <c r="G2" s="1600"/>
      <c r="H2" s="1600"/>
      <c r="I2" s="1600"/>
      <c r="J2" s="1600"/>
    </row>
    <row r="3" spans="1:10" ht="27" customHeight="1">
      <c r="A3" s="1600"/>
      <c r="B3" s="1600"/>
      <c r="C3" s="1631"/>
      <c r="D3" s="1631"/>
      <c r="E3" s="1626">
        <v>2015</v>
      </c>
      <c r="F3" s="1626"/>
      <c r="G3" s="367">
        <v>2016</v>
      </c>
      <c r="H3" s="737">
        <v>2017</v>
      </c>
      <c r="I3" s="737">
        <v>2018</v>
      </c>
      <c r="J3" s="737">
        <v>2019</v>
      </c>
    </row>
    <row r="4" spans="1:10" ht="23.25" customHeight="1">
      <c r="A4" s="1600"/>
      <c r="B4" s="1600"/>
      <c r="C4" s="1600" t="s">
        <v>453</v>
      </c>
      <c r="D4" s="1600" t="s">
        <v>2085</v>
      </c>
      <c r="E4" s="1600" t="s">
        <v>66</v>
      </c>
      <c r="F4" s="1600"/>
      <c r="G4" s="1600" t="s">
        <v>1873</v>
      </c>
      <c r="H4" s="1600" t="s">
        <v>1873</v>
      </c>
      <c r="I4" s="1600" t="s">
        <v>1873</v>
      </c>
      <c r="J4" s="1600" t="s">
        <v>1873</v>
      </c>
    </row>
    <row r="5" spans="1:10" ht="17.25" customHeight="1">
      <c r="A5" s="1600"/>
      <c r="B5" s="1600"/>
      <c r="C5" s="1600"/>
      <c r="D5" s="1600"/>
      <c r="E5" s="304" t="s">
        <v>1873</v>
      </c>
      <c r="F5" s="304" t="s">
        <v>2085</v>
      </c>
      <c r="G5" s="1600"/>
      <c r="H5" s="1600"/>
      <c r="I5" s="1600"/>
      <c r="J5" s="1600"/>
    </row>
    <row r="6" spans="1:10" ht="15" customHeight="1">
      <c r="A6" s="738">
        <v>1</v>
      </c>
      <c r="B6" s="738">
        <v>2</v>
      </c>
      <c r="C6" s="738">
        <v>3</v>
      </c>
      <c r="D6" s="738">
        <v>4</v>
      </c>
      <c r="E6" s="738">
        <v>5</v>
      </c>
      <c r="F6" s="738">
        <v>6</v>
      </c>
      <c r="G6" s="738">
        <v>7</v>
      </c>
      <c r="H6" s="738">
        <v>8</v>
      </c>
      <c r="I6" s="738">
        <v>9</v>
      </c>
      <c r="J6" s="738">
        <v>10</v>
      </c>
    </row>
    <row r="7" spans="1:10" ht="85.5" customHeight="1">
      <c r="A7" s="718">
        <v>1</v>
      </c>
      <c r="B7" s="718" t="s">
        <v>2116</v>
      </c>
      <c r="C7" s="711">
        <f aca="true" t="shared" si="0" ref="C7:C12">SUM(E7,G7:J7)</f>
        <v>12745.125064</v>
      </c>
      <c r="D7" s="720">
        <f>IF(C13=0,0,C7/C13)</f>
        <v>0.9814835523586556</v>
      </c>
      <c r="E7" s="711">
        <f>SUM(E8:E11)</f>
        <v>1904.56</v>
      </c>
      <c r="F7" s="720">
        <f>IF(E13=0,0,E7/E13)</f>
        <v>0.9814835523586556</v>
      </c>
      <c r="G7" s="711">
        <f>SUM(G8:G11)</f>
        <v>2285.4719999999998</v>
      </c>
      <c r="H7" s="711">
        <f>SUM(H8:H11)</f>
        <v>2628.2927999999997</v>
      </c>
      <c r="I7" s="711">
        <f>SUM(I8:I11)</f>
        <v>2891.12208</v>
      </c>
      <c r="J7" s="711">
        <f>SUM(J8:J11)</f>
        <v>3035.6781840000003</v>
      </c>
    </row>
    <row r="8" spans="1:10" ht="28.5" customHeight="1">
      <c r="A8" s="742" t="s">
        <v>1874</v>
      </c>
      <c r="B8" s="718" t="s">
        <v>170</v>
      </c>
      <c r="C8" s="711">
        <f t="shared" si="0"/>
        <v>0</v>
      </c>
      <c r="D8" s="720">
        <f>IF(C7=0,0,C8/C7)</f>
        <v>0</v>
      </c>
      <c r="E8" s="745">
        <f>'6. Пров закупівлі'!F104</f>
        <v>0</v>
      </c>
      <c r="F8" s="720">
        <f>IF(E7=0,0,E8/E7)</f>
        <v>0</v>
      </c>
      <c r="G8" s="745">
        <f>E8*1.2</f>
        <v>0</v>
      </c>
      <c r="H8" s="745">
        <f>G8*1.15</f>
        <v>0</v>
      </c>
      <c r="I8" s="745">
        <f>H8*1.1</f>
        <v>0</v>
      </c>
      <c r="J8" s="745">
        <f>I8*1.05</f>
        <v>0</v>
      </c>
    </row>
    <row r="9" spans="1:10" ht="15.75" customHeight="1">
      <c r="A9" s="742" t="s">
        <v>1875</v>
      </c>
      <c r="B9" s="718" t="s">
        <v>115</v>
      </c>
      <c r="C9" s="711">
        <f t="shared" si="0"/>
        <v>12745.125064</v>
      </c>
      <c r="D9" s="720">
        <f>IF(C7=0,0,C9/C7)</f>
        <v>1</v>
      </c>
      <c r="E9" s="745">
        <f>'6. Пров закупівлі'!F121</f>
        <v>1904.56</v>
      </c>
      <c r="F9" s="720">
        <f>IF(E7=0,0,E9/E7)</f>
        <v>1</v>
      </c>
      <c r="G9" s="745">
        <f>E9*1.2</f>
        <v>2285.4719999999998</v>
      </c>
      <c r="H9" s="745">
        <f>G9*1.15</f>
        <v>2628.2927999999997</v>
      </c>
      <c r="I9" s="745">
        <f>H9*1.1</f>
        <v>2891.12208</v>
      </c>
      <c r="J9" s="745">
        <f>I9*1.05</f>
        <v>3035.6781840000003</v>
      </c>
    </row>
    <row r="10" spans="1:10" ht="15.75" customHeight="1">
      <c r="A10" s="742" t="s">
        <v>1952</v>
      </c>
      <c r="B10" s="718" t="s">
        <v>1761</v>
      </c>
      <c r="C10" s="711">
        <f t="shared" si="0"/>
        <v>0</v>
      </c>
      <c r="D10" s="720">
        <f>IF(C7=0,0,C10/C7)</f>
        <v>0</v>
      </c>
      <c r="E10" s="745">
        <v>0</v>
      </c>
      <c r="F10" s="720">
        <f>IF(E7=0,0,E10/E7)</f>
        <v>0</v>
      </c>
      <c r="G10" s="745">
        <f>E10*1.2</f>
        <v>0</v>
      </c>
      <c r="H10" s="745">
        <f>G10*1.15</f>
        <v>0</v>
      </c>
      <c r="I10" s="745">
        <f>H10*1.1</f>
        <v>0</v>
      </c>
      <c r="J10" s="745">
        <f>I10*1.05</f>
        <v>0</v>
      </c>
    </row>
    <row r="11" spans="1:10" ht="15.75" customHeight="1">
      <c r="A11" s="742" t="s">
        <v>1953</v>
      </c>
      <c r="B11" s="718" t="s">
        <v>1762</v>
      </c>
      <c r="C11" s="711">
        <f t="shared" si="0"/>
        <v>0</v>
      </c>
      <c r="D11" s="720">
        <f>IF(C7=0,0,C11/C7)</f>
        <v>0</v>
      </c>
      <c r="E11" s="745">
        <v>0</v>
      </c>
      <c r="F11" s="720">
        <f>IF(E7=0,0,E11/E7)</f>
        <v>0</v>
      </c>
      <c r="G11" s="745">
        <f>E11*1.2</f>
        <v>0</v>
      </c>
      <c r="H11" s="745">
        <f>G11*1.15</f>
        <v>0</v>
      </c>
      <c r="I11" s="745">
        <f>H11*1.1</f>
        <v>0</v>
      </c>
      <c r="J11" s="745">
        <f>I11*1.05</f>
        <v>0</v>
      </c>
    </row>
    <row r="12" spans="1:10" ht="15" customHeight="1">
      <c r="A12" s="742" t="s">
        <v>1901</v>
      </c>
      <c r="B12" s="718" t="s">
        <v>2088</v>
      </c>
      <c r="C12" s="711">
        <f t="shared" si="0"/>
        <v>240.44665890000002</v>
      </c>
      <c r="D12" s="720">
        <f>IF(C13=0,0,C12/C13)</f>
        <v>0.018516447641344382</v>
      </c>
      <c r="E12" s="745">
        <f>'6. Пров закупівлі'!F129</f>
        <v>35.931000000000004</v>
      </c>
      <c r="F12" s="720">
        <f>IF(E13=0,0,E12/E13)</f>
        <v>0.018516447641344382</v>
      </c>
      <c r="G12" s="745">
        <f>E12*1.2</f>
        <v>43.117200000000004</v>
      </c>
      <c r="H12" s="745">
        <f>G12*1.15</f>
        <v>49.58478</v>
      </c>
      <c r="I12" s="745">
        <f>H12*1.1</f>
        <v>54.54325800000001</v>
      </c>
      <c r="J12" s="745">
        <f>I12*1.05</f>
        <v>57.27042090000001</v>
      </c>
    </row>
    <row r="13" spans="1:10" ht="19.5" customHeight="1">
      <c r="A13" s="1628" t="s">
        <v>1681</v>
      </c>
      <c r="B13" s="1628"/>
      <c r="C13" s="711">
        <f aca="true" t="shared" si="1" ref="C13:J13">SUM(C7,C12)</f>
        <v>12985.5717229</v>
      </c>
      <c r="D13" s="771">
        <f t="shared" si="1"/>
        <v>1</v>
      </c>
      <c r="E13" s="711">
        <f t="shared" si="1"/>
        <v>1940.491</v>
      </c>
      <c r="F13" s="720">
        <f t="shared" si="1"/>
        <v>1</v>
      </c>
      <c r="G13" s="711">
        <f t="shared" si="1"/>
        <v>2328.5892</v>
      </c>
      <c r="H13" s="711">
        <f t="shared" si="1"/>
        <v>2677.87758</v>
      </c>
      <c r="I13" s="711">
        <f t="shared" si="1"/>
        <v>2945.6653380000002</v>
      </c>
      <c r="J13" s="711">
        <f t="shared" si="1"/>
        <v>3092.9486049</v>
      </c>
    </row>
    <row r="14" spans="5:6" ht="12.75">
      <c r="E14" s="30"/>
      <c r="F14" s="30"/>
    </row>
    <row r="15" spans="4:6" ht="12.75">
      <c r="D15" s="31"/>
      <c r="F15" s="31"/>
    </row>
    <row r="18" spans="5:8" ht="12.75">
      <c r="E18" s="31"/>
      <c r="F18" s="31"/>
      <c r="G18" s="31"/>
      <c r="H18" s="31"/>
    </row>
  </sheetData>
  <sheetProtection/>
  <mergeCells count="14">
    <mergeCell ref="A13:B13"/>
    <mergeCell ref="A1:J1"/>
    <mergeCell ref="C4:C5"/>
    <mergeCell ref="D4:D5"/>
    <mergeCell ref="E3:F3"/>
    <mergeCell ref="G4:G5"/>
    <mergeCell ref="A2:A5"/>
    <mergeCell ref="B2:B5"/>
    <mergeCell ref="H4:H5"/>
    <mergeCell ref="I4:I5"/>
    <mergeCell ref="C2:D3"/>
    <mergeCell ref="E2:J2"/>
    <mergeCell ref="E4:F4"/>
    <mergeCell ref="J4:J5"/>
  </mergeCells>
  <printOptions/>
  <pageMargins left="1.3779527559055118" right="0.3937007874015748" top="0.7874015748031497" bottom="0.7874015748031497" header="0.5118110236220472" footer="0.5118110236220472"/>
  <pageSetup horizontalDpi="600" verticalDpi="600" orientation="landscape" paperSize="9" scale="80" r:id="rId1"/>
</worksheet>
</file>

<file path=xl/worksheets/sheet26.xml><?xml version="1.0" encoding="utf-8"?>
<worksheet xmlns="http://schemas.openxmlformats.org/spreadsheetml/2006/main" xmlns:r="http://schemas.openxmlformats.org/officeDocument/2006/relationships">
  <dimension ref="A1:I63"/>
  <sheetViews>
    <sheetView view="pageBreakPreview" zoomScaleSheetLayoutView="100" zoomScalePageLayoutView="0" workbookViewId="0" topLeftCell="A1">
      <selection activeCell="E19" sqref="E19"/>
    </sheetView>
  </sheetViews>
  <sheetFormatPr defaultColWidth="9.00390625" defaultRowHeight="12.75" outlineLevelRow="1"/>
  <cols>
    <col min="1" max="1" width="5.00390625" style="47" customWidth="1"/>
    <col min="2" max="2" width="28.375" style="46" customWidth="1"/>
    <col min="3" max="3" width="14.125" style="46" customWidth="1"/>
    <col min="4" max="4" width="22.875" style="46" customWidth="1"/>
    <col min="5" max="5" width="19.75390625" style="46" customWidth="1"/>
    <col min="6" max="6" width="23.625" style="71" customWidth="1"/>
    <col min="7" max="7" width="22.75390625" style="146" customWidth="1"/>
    <col min="8" max="8" width="21.00390625" style="46" customWidth="1"/>
    <col min="9" max="9" width="10.875" style="46" customWidth="1"/>
    <col min="10" max="16384" width="9.125" style="46" customWidth="1"/>
  </cols>
  <sheetData>
    <row r="1" spans="1:9" ht="38.25" customHeight="1">
      <c r="A1" s="1423" t="s">
        <v>171</v>
      </c>
      <c r="B1" s="1423"/>
      <c r="C1" s="1423"/>
      <c r="D1" s="1423"/>
      <c r="E1" s="1423"/>
      <c r="F1" s="1423"/>
      <c r="G1" s="1423"/>
      <c r="H1" s="1423"/>
      <c r="I1" s="1423"/>
    </row>
    <row r="2" spans="1:9" ht="125.25" customHeight="1">
      <c r="A2" s="629" t="s">
        <v>2004</v>
      </c>
      <c r="B2" s="326" t="s">
        <v>116</v>
      </c>
      <c r="C2" s="326" t="s">
        <v>117</v>
      </c>
      <c r="D2" s="326" t="s">
        <v>454</v>
      </c>
      <c r="E2" s="326" t="s">
        <v>455</v>
      </c>
      <c r="F2" s="326" t="s">
        <v>456</v>
      </c>
      <c r="G2" s="326" t="s">
        <v>457</v>
      </c>
      <c r="H2" s="326" t="s">
        <v>458</v>
      </c>
      <c r="I2" s="326" t="s">
        <v>1747</v>
      </c>
    </row>
    <row r="3" spans="1:9" ht="15">
      <c r="A3" s="772">
        <v>1</v>
      </c>
      <c r="B3" s="326">
        <v>2</v>
      </c>
      <c r="C3" s="326">
        <v>3</v>
      </c>
      <c r="D3" s="329">
        <v>4</v>
      </c>
      <c r="E3" s="329">
        <v>5</v>
      </c>
      <c r="F3" s="326">
        <v>6</v>
      </c>
      <c r="G3" s="326">
        <v>7</v>
      </c>
      <c r="H3" s="326">
        <v>8</v>
      </c>
      <c r="I3" s="773">
        <v>9</v>
      </c>
    </row>
    <row r="4" spans="1:9" ht="15.75">
      <c r="A4" s="774" t="s">
        <v>1876</v>
      </c>
      <c r="B4" s="775" t="s">
        <v>309</v>
      </c>
      <c r="C4" s="132">
        <v>2004</v>
      </c>
      <c r="D4" s="133">
        <v>4266.87</v>
      </c>
      <c r="E4" s="133">
        <v>1507.48</v>
      </c>
      <c r="F4" s="134"/>
      <c r="G4" s="134"/>
      <c r="H4" s="134"/>
      <c r="I4" s="776"/>
    </row>
    <row r="5" spans="1:9" ht="15.75">
      <c r="A5" s="774" t="s">
        <v>1901</v>
      </c>
      <c r="B5" s="775" t="s">
        <v>310</v>
      </c>
      <c r="C5" s="132">
        <v>2005</v>
      </c>
      <c r="D5" s="133">
        <v>2772.11</v>
      </c>
      <c r="E5" s="133">
        <v>1736.08</v>
      </c>
      <c r="F5" s="134"/>
      <c r="G5" s="134"/>
      <c r="H5" s="134"/>
      <c r="I5" s="776"/>
    </row>
    <row r="6" spans="1:9" ht="15.75">
      <c r="A6" s="774" t="s">
        <v>1902</v>
      </c>
      <c r="B6" s="775" t="s">
        <v>311</v>
      </c>
      <c r="C6" s="132">
        <v>2006</v>
      </c>
      <c r="D6" s="133">
        <v>2962.35</v>
      </c>
      <c r="E6" s="133">
        <v>2361.87</v>
      </c>
      <c r="F6" s="134"/>
      <c r="G6" s="134"/>
      <c r="H6" s="134"/>
      <c r="I6" s="776"/>
    </row>
    <row r="7" spans="1:9" ht="15.75">
      <c r="A7" s="774" t="s">
        <v>1903</v>
      </c>
      <c r="B7" s="775" t="s">
        <v>312</v>
      </c>
      <c r="C7" s="132">
        <v>2006</v>
      </c>
      <c r="D7" s="133">
        <v>4891.95</v>
      </c>
      <c r="E7" s="133">
        <v>1710.64</v>
      </c>
      <c r="F7" s="134"/>
      <c r="G7" s="134"/>
      <c r="H7" s="134"/>
      <c r="I7" s="776"/>
    </row>
    <row r="8" spans="1:9" ht="15.75">
      <c r="A8" s="774" t="s">
        <v>2081</v>
      </c>
      <c r="B8" s="775" t="s">
        <v>313</v>
      </c>
      <c r="C8" s="132">
        <v>2007</v>
      </c>
      <c r="D8" s="133">
        <v>3123.61</v>
      </c>
      <c r="E8" s="133">
        <v>1699.98</v>
      </c>
      <c r="F8" s="134"/>
      <c r="G8" s="134"/>
      <c r="H8" s="134"/>
      <c r="I8" s="776"/>
    </row>
    <row r="9" spans="1:9" ht="15.75">
      <c r="A9" s="774" t="s">
        <v>182</v>
      </c>
      <c r="B9" s="775" t="s">
        <v>314</v>
      </c>
      <c r="C9" s="132">
        <v>2007</v>
      </c>
      <c r="D9" s="135">
        <v>936.29</v>
      </c>
      <c r="E9" s="133">
        <v>1065.62</v>
      </c>
      <c r="F9" s="134"/>
      <c r="G9" s="134"/>
      <c r="H9" s="134"/>
      <c r="I9" s="776"/>
    </row>
    <row r="10" spans="1:9" ht="15.75">
      <c r="A10" s="774" t="s">
        <v>1904</v>
      </c>
      <c r="B10" s="775" t="s">
        <v>315</v>
      </c>
      <c r="C10" s="132">
        <v>2008</v>
      </c>
      <c r="D10" s="133">
        <v>1301.75</v>
      </c>
      <c r="E10" s="133">
        <v>1091.08</v>
      </c>
      <c r="F10" s="134"/>
      <c r="G10" s="134"/>
      <c r="H10" s="134"/>
      <c r="I10" s="776"/>
    </row>
    <row r="11" spans="1:9" ht="15.75">
      <c r="A11" s="774" t="s">
        <v>1905</v>
      </c>
      <c r="B11" s="775" t="s">
        <v>314</v>
      </c>
      <c r="C11" s="132">
        <v>2008</v>
      </c>
      <c r="D11" s="135">
        <v>468.14</v>
      </c>
      <c r="E11" s="135">
        <v>289.29</v>
      </c>
      <c r="F11" s="134"/>
      <c r="G11" s="134"/>
      <c r="H11" s="134"/>
      <c r="I11" s="776"/>
    </row>
    <row r="12" spans="1:9" ht="45">
      <c r="A12" s="774" t="s">
        <v>1906</v>
      </c>
      <c r="B12" s="775" t="s">
        <v>316</v>
      </c>
      <c r="C12" s="136">
        <v>2008</v>
      </c>
      <c r="D12" s="281">
        <v>1073.46</v>
      </c>
      <c r="E12" s="282">
        <v>635.97</v>
      </c>
      <c r="F12" s="134"/>
      <c r="G12" s="134"/>
      <c r="H12" s="134"/>
      <c r="I12" s="776"/>
    </row>
    <row r="13" spans="1:9" ht="15.75">
      <c r="A13" s="774" t="s">
        <v>1907</v>
      </c>
      <c r="B13" s="777" t="s">
        <v>317</v>
      </c>
      <c r="C13" s="137">
        <v>2009</v>
      </c>
      <c r="D13" s="138">
        <v>1794.31</v>
      </c>
      <c r="E13" s="138">
        <v>1422.58</v>
      </c>
      <c r="F13" s="134"/>
      <c r="G13" s="134"/>
      <c r="H13" s="134"/>
      <c r="I13" s="776"/>
    </row>
    <row r="14" spans="1:9" ht="15.75">
      <c r="A14" s="774" t="s">
        <v>1908</v>
      </c>
      <c r="B14" s="777" t="s">
        <v>318</v>
      </c>
      <c r="C14" s="137">
        <v>2010</v>
      </c>
      <c r="D14" s="138">
        <v>2181.32</v>
      </c>
      <c r="E14" s="138">
        <v>1717.63</v>
      </c>
      <c r="F14" s="134"/>
      <c r="G14" s="134"/>
      <c r="H14" s="134"/>
      <c r="I14" s="776"/>
    </row>
    <row r="15" spans="1:9" ht="15.75">
      <c r="A15" s="774" t="s">
        <v>319</v>
      </c>
      <c r="B15" s="775" t="s">
        <v>320</v>
      </c>
      <c r="C15" s="137">
        <v>2011</v>
      </c>
      <c r="D15" s="139">
        <v>949.92</v>
      </c>
      <c r="E15" s="138">
        <v>1098.53</v>
      </c>
      <c r="F15" s="134"/>
      <c r="G15" s="134"/>
      <c r="H15" s="140"/>
      <c r="I15" s="776"/>
    </row>
    <row r="16" spans="1:9" ht="15.75">
      <c r="A16" s="774" t="s">
        <v>321</v>
      </c>
      <c r="B16" s="777" t="s">
        <v>322</v>
      </c>
      <c r="C16" s="137">
        <v>2011</v>
      </c>
      <c r="D16" s="139">
        <v>615.69</v>
      </c>
      <c r="E16" s="139">
        <v>639.29</v>
      </c>
      <c r="F16" s="134"/>
      <c r="G16" s="134"/>
      <c r="H16" s="141"/>
      <c r="I16" s="776"/>
    </row>
    <row r="17" spans="1:9" ht="15.75">
      <c r="A17" s="774" t="s">
        <v>323</v>
      </c>
      <c r="B17" s="777" t="s">
        <v>324</v>
      </c>
      <c r="C17" s="137">
        <v>2012</v>
      </c>
      <c r="D17" s="138">
        <v>1108.25</v>
      </c>
      <c r="E17" s="139">
        <v>712.46</v>
      </c>
      <c r="F17" s="134"/>
      <c r="G17" s="134"/>
      <c r="H17" s="141"/>
      <c r="I17" s="776"/>
    </row>
    <row r="18" spans="1:9" ht="15.75">
      <c r="A18" s="774" t="s">
        <v>325</v>
      </c>
      <c r="B18" s="775" t="s">
        <v>326</v>
      </c>
      <c r="C18" s="137">
        <v>2012</v>
      </c>
      <c r="D18" s="139">
        <v>246.4</v>
      </c>
      <c r="E18" s="139">
        <v>150.34</v>
      </c>
      <c r="F18" s="134"/>
      <c r="G18" s="134"/>
      <c r="H18" s="141"/>
      <c r="I18" s="776"/>
    </row>
    <row r="19" spans="1:9" ht="15.75">
      <c r="A19" s="774" t="s">
        <v>327</v>
      </c>
      <c r="B19" s="777" t="s">
        <v>328</v>
      </c>
      <c r="C19" s="137">
        <v>2012</v>
      </c>
      <c r="D19" s="138">
        <v>1512.85</v>
      </c>
      <c r="E19" s="138">
        <v>1763.04</v>
      </c>
      <c r="F19" s="134"/>
      <c r="G19" s="134"/>
      <c r="H19" s="141"/>
      <c r="I19" s="776"/>
    </row>
    <row r="20" spans="1:9" ht="15.75">
      <c r="A20" s="774" t="s">
        <v>329</v>
      </c>
      <c r="B20" s="777" t="s">
        <v>330</v>
      </c>
      <c r="C20" s="137">
        <v>2012</v>
      </c>
      <c r="D20" s="139">
        <v>861.97</v>
      </c>
      <c r="E20" s="138">
        <v>1351.01</v>
      </c>
      <c r="F20" s="134"/>
      <c r="G20" s="134"/>
      <c r="H20" s="141"/>
      <c r="I20" s="776"/>
    </row>
    <row r="21" spans="1:9" ht="15.75">
      <c r="A21" s="774" t="s">
        <v>331</v>
      </c>
      <c r="B21" s="777" t="s">
        <v>332</v>
      </c>
      <c r="C21" s="137">
        <v>2013</v>
      </c>
      <c r="D21" s="138">
        <v>2101.35</v>
      </c>
      <c r="E21" s="142">
        <v>2040.05</v>
      </c>
      <c r="F21" s="142"/>
      <c r="G21" s="142"/>
      <c r="H21" s="141"/>
      <c r="I21" s="776"/>
    </row>
    <row r="22" spans="1:9" ht="15.75">
      <c r="A22" s="774" t="s">
        <v>333</v>
      </c>
      <c r="B22" s="777" t="s">
        <v>334</v>
      </c>
      <c r="C22" s="137">
        <v>2014</v>
      </c>
      <c r="D22" s="139">
        <v>466.97</v>
      </c>
      <c r="E22" s="143"/>
      <c r="F22" s="134">
        <v>821.63</v>
      </c>
      <c r="G22" s="134"/>
      <c r="H22" s="141"/>
      <c r="I22" s="776"/>
    </row>
    <row r="23" spans="1:9" ht="15.75">
      <c r="A23" s="774" t="s">
        <v>335</v>
      </c>
      <c r="B23" s="777" t="s">
        <v>343</v>
      </c>
      <c r="C23" s="137">
        <v>2015</v>
      </c>
      <c r="D23" s="138">
        <v>1231.38</v>
      </c>
      <c r="E23" s="143"/>
      <c r="F23" s="134"/>
      <c r="G23" s="134">
        <v>1415.49</v>
      </c>
      <c r="H23" s="138">
        <v>2125.9</v>
      </c>
      <c r="I23" s="776"/>
    </row>
    <row r="24" spans="1:9" ht="15.75">
      <c r="A24" s="774" t="s">
        <v>336</v>
      </c>
      <c r="B24" s="775" t="s">
        <v>340</v>
      </c>
      <c r="C24" s="137">
        <v>2016</v>
      </c>
      <c r="D24" s="138">
        <v>3870.07</v>
      </c>
      <c r="E24" s="143"/>
      <c r="F24" s="134"/>
      <c r="G24" s="134"/>
      <c r="H24" s="138">
        <v>3870.07</v>
      </c>
      <c r="I24" s="776"/>
    </row>
    <row r="25" spans="1:9" ht="15.75">
      <c r="A25" s="774" t="s">
        <v>338</v>
      </c>
      <c r="B25" s="777" t="s">
        <v>474</v>
      </c>
      <c r="C25" s="137">
        <v>2017</v>
      </c>
      <c r="D25" s="138">
        <v>2550.73</v>
      </c>
      <c r="E25" s="143"/>
      <c r="F25" s="134"/>
      <c r="G25" s="134"/>
      <c r="H25" s="138">
        <v>2550.73</v>
      </c>
      <c r="I25" s="776"/>
    </row>
    <row r="26" spans="1:9" ht="15.75">
      <c r="A26" s="778">
        <v>23</v>
      </c>
      <c r="B26" s="775" t="s">
        <v>337</v>
      </c>
      <c r="C26" s="137">
        <v>2018</v>
      </c>
      <c r="D26" s="138">
        <v>1600.8</v>
      </c>
      <c r="E26" s="143"/>
      <c r="F26" s="134"/>
      <c r="G26" s="134"/>
      <c r="H26" s="138">
        <v>1600.8</v>
      </c>
      <c r="I26" s="776"/>
    </row>
    <row r="27" spans="1:9" ht="15.75">
      <c r="A27" s="774" t="s">
        <v>341</v>
      </c>
      <c r="B27" s="777" t="s">
        <v>339</v>
      </c>
      <c r="C27" s="137">
        <v>2019</v>
      </c>
      <c r="D27" s="139">
        <v>932.33</v>
      </c>
      <c r="E27" s="143"/>
      <c r="F27" s="134"/>
      <c r="G27" s="134"/>
      <c r="H27" s="139">
        <v>932.33</v>
      </c>
      <c r="I27" s="776"/>
    </row>
    <row r="28" spans="1:9" ht="15.75">
      <c r="A28" s="779">
        <v>25</v>
      </c>
      <c r="B28" s="777" t="s">
        <v>342</v>
      </c>
      <c r="C28" s="137">
        <v>2019</v>
      </c>
      <c r="D28" s="138">
        <v>1196.2</v>
      </c>
      <c r="E28" s="143"/>
      <c r="F28" s="134"/>
      <c r="G28" s="134"/>
      <c r="H28" s="138">
        <v>1196.2</v>
      </c>
      <c r="I28" s="776"/>
    </row>
    <row r="29" spans="1:9" ht="15.75">
      <c r="A29" s="779">
        <v>26</v>
      </c>
      <c r="B29" s="777" t="s">
        <v>344</v>
      </c>
      <c r="C29" s="137">
        <v>2019</v>
      </c>
      <c r="D29" s="139">
        <v>351.83</v>
      </c>
      <c r="E29" s="143"/>
      <c r="F29" s="134"/>
      <c r="G29" s="134"/>
      <c r="H29" s="139">
        <v>351.83</v>
      </c>
      <c r="I29" s="776"/>
    </row>
    <row r="30" spans="1:9" ht="15.75">
      <c r="A30" s="774" t="s">
        <v>345</v>
      </c>
      <c r="B30" s="777" t="s">
        <v>346</v>
      </c>
      <c r="C30" s="137">
        <v>2019</v>
      </c>
      <c r="D30" s="139">
        <v>703.65</v>
      </c>
      <c r="E30" s="143"/>
      <c r="F30" s="134"/>
      <c r="G30" s="134"/>
      <c r="H30" s="139">
        <v>703.65</v>
      </c>
      <c r="I30" s="776"/>
    </row>
    <row r="31" spans="1:9" ht="15.75">
      <c r="A31" s="774" t="s">
        <v>347</v>
      </c>
      <c r="B31" s="777" t="s">
        <v>348</v>
      </c>
      <c r="C31" s="137">
        <v>2019</v>
      </c>
      <c r="D31" s="139">
        <v>492.55</v>
      </c>
      <c r="E31" s="143"/>
      <c r="F31" s="134"/>
      <c r="G31" s="134"/>
      <c r="H31" s="139">
        <v>492.55</v>
      </c>
      <c r="I31" s="776"/>
    </row>
    <row r="32" spans="1:9" ht="15.75">
      <c r="A32" s="774" t="s">
        <v>349</v>
      </c>
      <c r="B32" s="777" t="s">
        <v>350</v>
      </c>
      <c r="C32" s="137">
        <v>2019</v>
      </c>
      <c r="D32" s="139">
        <v>457.37</v>
      </c>
      <c r="E32" s="143"/>
      <c r="F32" s="134"/>
      <c r="G32" s="134"/>
      <c r="H32" s="139">
        <v>457.37</v>
      </c>
      <c r="I32" s="776"/>
    </row>
    <row r="33" spans="1:9" ht="15">
      <c r="A33" s="774"/>
      <c r="B33" s="775" t="s">
        <v>118</v>
      </c>
      <c r="C33" s="780"/>
      <c r="D33" s="781">
        <f>SUM(D4:D32)</f>
        <v>47022.47000000001</v>
      </c>
      <c r="E33" s="781">
        <f>SUM(E4:E32)</f>
        <v>22992.94</v>
      </c>
      <c r="F33" s="782">
        <f>SUM(F4:F32)</f>
        <v>821.63</v>
      </c>
      <c r="G33" s="782">
        <f>SUM(G4:G32)</f>
        <v>1415.49</v>
      </c>
      <c r="H33" s="783">
        <f>SUM(H4:H32)</f>
        <v>14281.43</v>
      </c>
      <c r="I33" s="776"/>
    </row>
    <row r="34" spans="1:9" ht="12.75">
      <c r="A34" s="784"/>
      <c r="B34" s="338"/>
      <c r="C34" s="338"/>
      <c r="D34" s="338"/>
      <c r="E34" s="338"/>
      <c r="F34" s="785"/>
      <c r="G34" s="785"/>
      <c r="H34" s="338"/>
      <c r="I34" s="338"/>
    </row>
    <row r="35" spans="1:9" ht="14.25" hidden="1">
      <c r="A35" s="335" t="s">
        <v>2077</v>
      </c>
      <c r="B35" s="335"/>
      <c r="C35" s="338"/>
      <c r="D35" s="786" t="s">
        <v>1991</v>
      </c>
      <c r="E35" s="786"/>
      <c r="F35" s="787"/>
      <c r="G35" s="788" t="s">
        <v>1677</v>
      </c>
      <c r="H35" s="786"/>
      <c r="I35" s="786"/>
    </row>
    <row r="36" spans="1:9" ht="15" hidden="1">
      <c r="A36" s="339"/>
      <c r="B36" s="339"/>
      <c r="C36" s="334"/>
      <c r="D36" s="786" t="s">
        <v>1992</v>
      </c>
      <c r="E36" s="786"/>
      <c r="F36" s="787"/>
      <c r="G36" s="787" t="s">
        <v>1675</v>
      </c>
      <c r="H36" s="786"/>
      <c r="I36" s="786"/>
    </row>
    <row r="37" spans="1:9" ht="12.75" hidden="1">
      <c r="A37" s="789"/>
      <c r="B37" s="789"/>
      <c r="C37" s="338"/>
      <c r="D37" s="338"/>
      <c r="E37" s="338"/>
      <c r="F37" s="785"/>
      <c r="G37" s="785"/>
      <c r="H37" s="338"/>
      <c r="I37" s="338"/>
    </row>
    <row r="38" spans="1:9" ht="12.75" hidden="1">
      <c r="A38" s="1645" t="s">
        <v>1993</v>
      </c>
      <c r="B38" s="1645"/>
      <c r="C38" s="1645"/>
      <c r="D38" s="1645"/>
      <c r="E38" s="790"/>
      <c r="F38" s="785"/>
      <c r="G38" s="785"/>
      <c r="H38" s="338"/>
      <c r="I38" s="338"/>
    </row>
    <row r="39" spans="1:9" ht="12.75" hidden="1">
      <c r="A39" s="791"/>
      <c r="B39" s="791"/>
      <c r="C39" s="338"/>
      <c r="D39" s="338"/>
      <c r="E39" s="338"/>
      <c r="F39" s="785"/>
      <c r="G39" s="785"/>
      <c r="H39" s="338"/>
      <c r="I39" s="338"/>
    </row>
    <row r="40" spans="1:9" ht="12.75" hidden="1">
      <c r="A40" s="791" t="s">
        <v>1676</v>
      </c>
      <c r="B40" s="791"/>
      <c r="C40" s="338"/>
      <c r="D40" s="338"/>
      <c r="E40" s="338"/>
      <c r="F40" s="785"/>
      <c r="G40" s="785"/>
      <c r="H40" s="338"/>
      <c r="I40" s="338"/>
    </row>
    <row r="41" spans="1:9" ht="12.75" hidden="1">
      <c r="A41" s="338"/>
      <c r="B41" s="338"/>
      <c r="C41" s="338"/>
      <c r="D41" s="338"/>
      <c r="E41" s="338"/>
      <c r="F41" s="785"/>
      <c r="G41" s="785"/>
      <c r="H41" s="338"/>
      <c r="I41" s="338"/>
    </row>
    <row r="42" spans="1:9" ht="12.75" hidden="1">
      <c r="A42" s="338"/>
      <c r="B42" s="338"/>
      <c r="C42" s="338"/>
      <c r="D42" s="338"/>
      <c r="E42" s="338"/>
      <c r="F42" s="785"/>
      <c r="G42" s="785"/>
      <c r="H42" s="338"/>
      <c r="I42" s="338"/>
    </row>
    <row r="43" spans="1:9" ht="14.25" hidden="1">
      <c r="A43" s="335" t="s">
        <v>2078</v>
      </c>
      <c r="B43" s="335"/>
      <c r="C43" s="338"/>
      <c r="D43" s="786" t="s">
        <v>1991</v>
      </c>
      <c r="E43" s="786"/>
      <c r="F43" s="787"/>
      <c r="G43" s="788" t="s">
        <v>2079</v>
      </c>
      <c r="H43" s="338"/>
      <c r="I43" s="338"/>
    </row>
    <row r="44" spans="1:9" ht="15" hidden="1">
      <c r="A44" s="339"/>
      <c r="B44" s="339"/>
      <c r="C44" s="334"/>
      <c r="D44" s="786" t="s">
        <v>1992</v>
      </c>
      <c r="E44" s="786"/>
      <c r="F44" s="787"/>
      <c r="G44" s="787" t="s">
        <v>1675</v>
      </c>
      <c r="H44" s="338"/>
      <c r="I44" s="338"/>
    </row>
    <row r="45" spans="1:9" ht="12.75" hidden="1">
      <c r="A45" s="789"/>
      <c r="B45" s="789"/>
      <c r="C45" s="338"/>
      <c r="D45" s="338"/>
      <c r="E45" s="338"/>
      <c r="F45" s="785"/>
      <c r="G45" s="785"/>
      <c r="H45" s="338"/>
      <c r="I45" s="338"/>
    </row>
    <row r="46" spans="1:9" ht="12.75" hidden="1">
      <c r="A46" s="1645" t="s">
        <v>1993</v>
      </c>
      <c r="B46" s="1645"/>
      <c r="C46" s="1645"/>
      <c r="D46" s="1645"/>
      <c r="E46" s="790"/>
      <c r="F46" s="785"/>
      <c r="G46" s="785"/>
      <c r="H46" s="338"/>
      <c r="I46" s="338"/>
    </row>
    <row r="47" spans="1:9" ht="12.75">
      <c r="A47" s="338"/>
      <c r="B47" s="338"/>
      <c r="C47" s="338"/>
      <c r="D47" s="338"/>
      <c r="E47" s="338"/>
      <c r="F47" s="785"/>
      <c r="G47" s="785"/>
      <c r="H47" s="338"/>
      <c r="I47" s="338"/>
    </row>
    <row r="48" spans="1:9" ht="12.75">
      <c r="A48" s="338"/>
      <c r="B48" s="338"/>
      <c r="C48" s="338"/>
      <c r="D48" s="338"/>
      <c r="E48" s="338"/>
      <c r="F48" s="785"/>
      <c r="G48" s="785"/>
      <c r="H48" s="338"/>
      <c r="I48" s="338"/>
    </row>
    <row r="49" spans="1:9" ht="15">
      <c r="A49" s="784"/>
      <c r="B49" s="335" t="s">
        <v>2243</v>
      </c>
      <c r="C49" s="335"/>
      <c r="D49" s="334"/>
      <c r="E49" s="336" t="s">
        <v>1991</v>
      </c>
      <c r="F49" s="792"/>
      <c r="G49" s="793" t="s">
        <v>2242</v>
      </c>
      <c r="H49" s="334"/>
      <c r="I49" s="338"/>
    </row>
    <row r="50" spans="1:9" ht="15">
      <c r="A50" s="784"/>
      <c r="B50" s="339"/>
      <c r="C50" s="339"/>
      <c r="D50" s="334"/>
      <c r="E50" s="336" t="s">
        <v>1992</v>
      </c>
      <c r="F50" s="792"/>
      <c r="G50" s="794" t="s">
        <v>1675</v>
      </c>
      <c r="H50" s="334"/>
      <c r="I50" s="338"/>
    </row>
    <row r="51" spans="1:9" ht="15">
      <c r="A51" s="784"/>
      <c r="B51" s="339"/>
      <c r="C51" s="339"/>
      <c r="D51" s="334"/>
      <c r="E51" s="336"/>
      <c r="F51" s="792"/>
      <c r="G51" s="794"/>
      <c r="H51" s="334"/>
      <c r="I51" s="338"/>
    </row>
    <row r="52" spans="1:9" ht="15" outlineLevel="1">
      <c r="A52" s="784"/>
      <c r="B52" s="335" t="s">
        <v>2078</v>
      </c>
      <c r="C52" s="335"/>
      <c r="D52" s="334"/>
      <c r="E52" s="336" t="s">
        <v>1991</v>
      </c>
      <c r="F52" s="792"/>
      <c r="G52" s="793" t="s">
        <v>435</v>
      </c>
      <c r="H52" s="334"/>
      <c r="I52" s="338"/>
    </row>
    <row r="53" spans="1:9" ht="15" outlineLevel="1">
      <c r="A53" s="784"/>
      <c r="B53" s="339"/>
      <c r="C53" s="339"/>
      <c r="D53" s="334"/>
      <c r="E53" s="336" t="s">
        <v>1992</v>
      </c>
      <c r="F53" s="792"/>
      <c r="G53" s="794" t="s">
        <v>1675</v>
      </c>
      <c r="H53" s="334"/>
      <c r="I53" s="338"/>
    </row>
    <row r="54" spans="1:9" ht="15">
      <c r="A54" s="784"/>
      <c r="B54" s="343" t="s">
        <v>1993</v>
      </c>
      <c r="C54" s="363"/>
      <c r="D54" s="334"/>
      <c r="E54" s="338"/>
      <c r="F54" s="792"/>
      <c r="G54" s="792"/>
      <c r="H54" s="334"/>
      <c r="I54" s="338"/>
    </row>
    <row r="55" spans="1:9" ht="15">
      <c r="A55" s="784"/>
      <c r="B55" s="343" t="s">
        <v>1676</v>
      </c>
      <c r="C55" s="363"/>
      <c r="D55" s="334" t="s">
        <v>1793</v>
      </c>
      <c r="E55" s="334"/>
      <c r="F55" s="792"/>
      <c r="G55" s="792"/>
      <c r="H55" s="334"/>
      <c r="I55" s="338"/>
    </row>
    <row r="56" spans="2:8" ht="14.25">
      <c r="B56" s="81"/>
      <c r="C56" s="81"/>
      <c r="D56" s="81"/>
      <c r="E56" s="81"/>
      <c r="F56" s="127"/>
      <c r="G56" s="127"/>
      <c r="H56" s="81"/>
    </row>
    <row r="57" spans="2:8" ht="15" hidden="1">
      <c r="B57" s="63" t="s">
        <v>2078</v>
      </c>
      <c r="C57" s="65"/>
      <c r="D57" s="65"/>
      <c r="E57" s="72" t="s">
        <v>1991</v>
      </c>
      <c r="F57" s="128"/>
      <c r="G57" s="145" t="s">
        <v>2079</v>
      </c>
      <c r="H57" s="81"/>
    </row>
    <row r="58" spans="2:8" ht="14.25" hidden="1">
      <c r="B58" s="65"/>
      <c r="C58" s="65"/>
      <c r="D58" s="65"/>
      <c r="E58" s="72" t="s">
        <v>1992</v>
      </c>
      <c r="F58" s="128"/>
      <c r="G58" s="144" t="s">
        <v>1675</v>
      </c>
      <c r="H58" s="81"/>
    </row>
    <row r="59" spans="2:8" ht="14.25" hidden="1">
      <c r="B59" s="65"/>
      <c r="C59" s="65"/>
      <c r="D59" s="65"/>
      <c r="E59" s="65"/>
      <c r="F59" s="128"/>
      <c r="G59" s="128"/>
      <c r="H59" s="81"/>
    </row>
    <row r="60" spans="2:8" ht="14.25" hidden="1">
      <c r="B60" s="1425" t="s">
        <v>1993</v>
      </c>
      <c r="C60" s="1425"/>
      <c r="D60" s="1425"/>
      <c r="E60" s="1425"/>
      <c r="F60" s="128"/>
      <c r="G60" s="128"/>
      <c r="H60" s="81"/>
    </row>
    <row r="61" spans="2:8" ht="14.25">
      <c r="B61" s="65"/>
      <c r="C61" s="65"/>
      <c r="D61" s="65"/>
      <c r="E61" s="65"/>
      <c r="F61" s="128"/>
      <c r="G61" s="128"/>
      <c r="H61" s="81"/>
    </row>
    <row r="62" spans="2:8" ht="14.25">
      <c r="B62" s="81"/>
      <c r="C62" s="81"/>
      <c r="D62" s="81"/>
      <c r="E62" s="81"/>
      <c r="F62" s="127"/>
      <c r="G62" s="127"/>
      <c r="H62" s="81"/>
    </row>
    <row r="63" spans="2:8" ht="14.25">
      <c r="B63" s="81"/>
      <c r="C63" s="81"/>
      <c r="D63" s="81"/>
      <c r="E63" s="81"/>
      <c r="F63" s="127"/>
      <c r="G63" s="127"/>
      <c r="H63" s="81"/>
    </row>
  </sheetData>
  <sheetProtection/>
  <mergeCells count="4">
    <mergeCell ref="A1:I1"/>
    <mergeCell ref="A38:D38"/>
    <mergeCell ref="A46:D46"/>
    <mergeCell ref="B60:E60"/>
  </mergeCells>
  <printOptions/>
  <pageMargins left="0.3937007874015748" right="0.3937007874015748" top="0.7874015748031497" bottom="0.3937007874015748" header="0.4330708661417323" footer="0.7086614173228347"/>
  <pageSetup horizontalDpi="600" verticalDpi="600" orientation="landscape" paperSize="9" scale="84" r:id="rId1"/>
</worksheet>
</file>

<file path=xl/worksheets/sheet27.xml><?xml version="1.0" encoding="utf-8"?>
<worksheet xmlns="http://schemas.openxmlformats.org/spreadsheetml/2006/main" xmlns:r="http://schemas.openxmlformats.org/officeDocument/2006/relationships">
  <sheetPr>
    <tabColor rgb="FF00B050"/>
  </sheetPr>
  <dimension ref="A1:J28"/>
  <sheetViews>
    <sheetView showZeros="0" view="pageBreakPreview" zoomScaleSheetLayoutView="100" zoomScalePageLayoutView="0" workbookViewId="0" topLeftCell="A1">
      <selection activeCell="J9" sqref="J9"/>
    </sheetView>
  </sheetViews>
  <sheetFormatPr defaultColWidth="9.00390625" defaultRowHeight="12.75"/>
  <cols>
    <col min="1" max="1" width="9.125" style="3" customWidth="1"/>
    <col min="2" max="2" width="46.125" style="3" customWidth="1"/>
    <col min="3" max="3" width="14.00390625" style="3" customWidth="1"/>
    <col min="4" max="4" width="12.625" style="3" customWidth="1"/>
    <col min="5" max="5" width="13.875" style="3" customWidth="1"/>
    <col min="6" max="6" width="10.125" style="3" customWidth="1"/>
    <col min="7" max="7" width="11.25390625" style="3" customWidth="1"/>
    <col min="8" max="8" width="11.00390625" style="3" customWidth="1"/>
    <col min="9" max="9" width="11.375" style="3" customWidth="1"/>
    <col min="10" max="10" width="11.25390625" style="3" customWidth="1"/>
    <col min="11" max="16384" width="9.125" style="3" customWidth="1"/>
  </cols>
  <sheetData>
    <row r="1" spans="1:10" ht="27" customHeight="1">
      <c r="A1" s="1620" t="s">
        <v>119</v>
      </c>
      <c r="B1" s="1620"/>
      <c r="C1" s="1620"/>
      <c r="D1" s="1620"/>
      <c r="E1" s="1620"/>
      <c r="F1" s="1620"/>
      <c r="G1" s="1620"/>
      <c r="H1" s="1620"/>
      <c r="I1" s="1620"/>
      <c r="J1" s="1620"/>
    </row>
    <row r="2" spans="1:10" ht="15.75" customHeight="1">
      <c r="A2" s="1600" t="s">
        <v>2082</v>
      </c>
      <c r="B2" s="1600" t="s">
        <v>2090</v>
      </c>
      <c r="C2" s="1631" t="s">
        <v>2188</v>
      </c>
      <c r="D2" s="1631"/>
      <c r="E2" s="1600" t="s">
        <v>61</v>
      </c>
      <c r="F2" s="1600"/>
      <c r="G2" s="1600"/>
      <c r="H2" s="1600"/>
      <c r="I2" s="1600"/>
      <c r="J2" s="1600"/>
    </row>
    <row r="3" spans="1:10" ht="18.75" customHeight="1">
      <c r="A3" s="1600"/>
      <c r="B3" s="1600"/>
      <c r="C3" s="1631"/>
      <c r="D3" s="1631"/>
      <c r="E3" s="1627">
        <v>2015</v>
      </c>
      <c r="F3" s="1627"/>
      <c r="G3" s="737">
        <v>2016</v>
      </c>
      <c r="H3" s="737">
        <v>2017</v>
      </c>
      <c r="I3" s="737">
        <v>2018</v>
      </c>
      <c r="J3" s="737">
        <v>2019</v>
      </c>
    </row>
    <row r="4" spans="1:10" ht="15" customHeight="1">
      <c r="A4" s="1600"/>
      <c r="B4" s="1600"/>
      <c r="C4" s="1600" t="s">
        <v>459</v>
      </c>
      <c r="D4" s="1600" t="s">
        <v>2085</v>
      </c>
      <c r="E4" s="1600" t="s">
        <v>66</v>
      </c>
      <c r="F4" s="1600"/>
      <c r="G4" s="1600" t="s">
        <v>1873</v>
      </c>
      <c r="H4" s="1600" t="s">
        <v>1873</v>
      </c>
      <c r="I4" s="1600" t="s">
        <v>1873</v>
      </c>
      <c r="J4" s="1600" t="s">
        <v>1873</v>
      </c>
    </row>
    <row r="5" spans="1:10" ht="21" customHeight="1">
      <c r="A5" s="1600"/>
      <c r="B5" s="1600"/>
      <c r="C5" s="1600"/>
      <c r="D5" s="1600"/>
      <c r="E5" s="304" t="s">
        <v>1873</v>
      </c>
      <c r="F5" s="304" t="s">
        <v>2085</v>
      </c>
      <c r="G5" s="1600"/>
      <c r="H5" s="1600"/>
      <c r="I5" s="1600"/>
      <c r="J5" s="1600"/>
    </row>
    <row r="6" spans="1:10" ht="15">
      <c r="A6" s="738">
        <v>1</v>
      </c>
      <c r="B6" s="738">
        <v>2</v>
      </c>
      <c r="C6" s="738">
        <v>3</v>
      </c>
      <c r="D6" s="738">
        <v>4</v>
      </c>
      <c r="E6" s="738">
        <v>5</v>
      </c>
      <c r="F6" s="738">
        <v>6</v>
      </c>
      <c r="G6" s="738">
        <v>7</v>
      </c>
      <c r="H6" s="738">
        <v>8</v>
      </c>
      <c r="I6" s="738">
        <v>9</v>
      </c>
      <c r="J6" s="738">
        <v>10</v>
      </c>
    </row>
    <row r="7" spans="1:10" ht="29.25" customHeight="1">
      <c r="A7" s="718">
        <v>1</v>
      </c>
      <c r="B7" s="718" t="s">
        <v>120</v>
      </c>
      <c r="C7" s="711">
        <f aca="true" t="shared" si="0" ref="C7:C13">SUM(E7,G7:J7)</f>
        <v>8343.46092</v>
      </c>
      <c r="D7" s="720">
        <f>IF(C28=0,0,C7/C28)</f>
        <v>0.28511710656903594</v>
      </c>
      <c r="E7" s="711">
        <f>SUM(E8:E12)</f>
        <v>1246.8</v>
      </c>
      <c r="F7" s="720">
        <f>IF(E28=0,0,E7/E28)</f>
        <v>0.2851171065690359</v>
      </c>
      <c r="G7" s="711">
        <f>SUM(G8:G12)</f>
        <v>1496.1599999999999</v>
      </c>
      <c r="H7" s="711">
        <f>SUM(H8:H12)</f>
        <v>1720.5839999999998</v>
      </c>
      <c r="I7" s="711">
        <f>SUM(I8:I12)</f>
        <v>1892.6424</v>
      </c>
      <c r="J7" s="711">
        <f>SUM(J8:J12)</f>
        <v>1987.27452</v>
      </c>
    </row>
    <row r="8" spans="1:10" ht="22.5" customHeight="1">
      <c r="A8" s="742" t="s">
        <v>1874</v>
      </c>
      <c r="B8" s="718" t="s">
        <v>121</v>
      </c>
      <c r="C8" s="711">
        <f t="shared" si="0"/>
        <v>7817.47758</v>
      </c>
      <c r="D8" s="720">
        <f>IF(C7=0,0,C8/C7)</f>
        <v>0.9369586140519731</v>
      </c>
      <c r="E8" s="745">
        <f>'6. Пров закупівлі'!F136</f>
        <v>1168.2</v>
      </c>
      <c r="F8" s="720">
        <f>IF(E7=0,0,E8/E7)</f>
        <v>0.9369586140519731</v>
      </c>
      <c r="G8" s="745">
        <f>E8*1.2</f>
        <v>1401.84</v>
      </c>
      <c r="H8" s="745">
        <f>G8*1.15</f>
        <v>1612.1159999999998</v>
      </c>
      <c r="I8" s="745">
        <f>H8*1.1</f>
        <v>1773.3275999999998</v>
      </c>
      <c r="J8" s="745">
        <f>I8*1.05</f>
        <v>1861.99398</v>
      </c>
    </row>
    <row r="9" spans="1:10" ht="22.5" customHeight="1">
      <c r="A9" s="742" t="s">
        <v>1875</v>
      </c>
      <c r="B9" s="718" t="s">
        <v>122</v>
      </c>
      <c r="C9" s="711">
        <f t="shared" si="0"/>
        <v>0</v>
      </c>
      <c r="D9" s="720">
        <f>IF(C8=0,0,C9/C8)</f>
        <v>0</v>
      </c>
      <c r="E9" s="745">
        <f>'6. Пров закупівлі'!F140</f>
        <v>0</v>
      </c>
      <c r="F9" s="720">
        <f>IF(E7=0,0,E9/E7)</f>
        <v>0</v>
      </c>
      <c r="G9" s="745">
        <f>E9*1.2</f>
        <v>0</v>
      </c>
      <c r="H9" s="745">
        <f>G9*1.15</f>
        <v>0</v>
      </c>
      <c r="I9" s="745">
        <f>H9*1.1</f>
        <v>0</v>
      </c>
      <c r="J9" s="745">
        <f>I9*1.05</f>
        <v>0</v>
      </c>
    </row>
    <row r="10" spans="1:10" ht="33" customHeight="1">
      <c r="A10" s="742" t="s">
        <v>1952</v>
      </c>
      <c r="B10" s="718" t="s">
        <v>123</v>
      </c>
      <c r="C10" s="711">
        <f t="shared" si="0"/>
        <v>191.38834</v>
      </c>
      <c r="D10" s="720">
        <f>IF(C7=0,0,C10/C7)</f>
        <v>0.022938723131215914</v>
      </c>
      <c r="E10" s="745">
        <f>'6. Пров закупівлі'!F143</f>
        <v>28.6</v>
      </c>
      <c r="F10" s="720">
        <f>IF(E7=0,0,E10/E7)</f>
        <v>0.022938723131215914</v>
      </c>
      <c r="G10" s="745">
        <f>E10*1.2</f>
        <v>34.32</v>
      </c>
      <c r="H10" s="745">
        <f>G10*1.15</f>
        <v>39.467999999999996</v>
      </c>
      <c r="I10" s="745">
        <f>H10*1.1</f>
        <v>43.4148</v>
      </c>
      <c r="J10" s="745">
        <f>I10*1.05</f>
        <v>45.58554</v>
      </c>
    </row>
    <row r="11" spans="1:10" ht="33" customHeight="1">
      <c r="A11" s="742" t="s">
        <v>1953</v>
      </c>
      <c r="B11" s="718" t="s">
        <v>124</v>
      </c>
      <c r="C11" s="711">
        <f t="shared" si="0"/>
        <v>0</v>
      </c>
      <c r="D11" s="720">
        <f>IF(C10=0,0,C11/C10)</f>
        <v>0</v>
      </c>
      <c r="E11" s="745">
        <f>'6. Пров закупівлі'!F146</f>
        <v>0</v>
      </c>
      <c r="F11" s="720">
        <f>IF(E7=0,0,E11/E7)</f>
        <v>0</v>
      </c>
      <c r="G11" s="745">
        <f>E11*1.2</f>
        <v>0</v>
      </c>
      <c r="H11" s="745">
        <f>G11*1.15</f>
        <v>0</v>
      </c>
      <c r="I11" s="745">
        <f>H11*1.1</f>
        <v>0</v>
      </c>
      <c r="J11" s="745">
        <f>I11*1.05</f>
        <v>0</v>
      </c>
    </row>
    <row r="12" spans="1:10" ht="21.75" customHeight="1">
      <c r="A12" s="742" t="s">
        <v>1954</v>
      </c>
      <c r="B12" s="718" t="s">
        <v>172</v>
      </c>
      <c r="C12" s="711">
        <f t="shared" si="0"/>
        <v>334.595</v>
      </c>
      <c r="D12" s="720">
        <f>IF(C7=0,0,C12/C7)</f>
        <v>0.04010266281681104</v>
      </c>
      <c r="E12" s="745">
        <f>'6. Пров закупівлі'!F150</f>
        <v>50</v>
      </c>
      <c r="F12" s="720">
        <f>IF(E7=0,0,E12/E7)</f>
        <v>0.04010266281681104</v>
      </c>
      <c r="G12" s="745">
        <f>E12*1.2</f>
        <v>60</v>
      </c>
      <c r="H12" s="745">
        <f>G12*1.15</f>
        <v>69</v>
      </c>
      <c r="I12" s="745">
        <f>H12*1.1</f>
        <v>75.9</v>
      </c>
      <c r="J12" s="745">
        <f>I12*1.05</f>
        <v>79.69500000000001</v>
      </c>
    </row>
    <row r="13" spans="1:10" ht="28.5" customHeight="1">
      <c r="A13" s="742" t="s">
        <v>1901</v>
      </c>
      <c r="B13" s="718" t="s">
        <v>125</v>
      </c>
      <c r="C13" s="711">
        <f t="shared" si="0"/>
        <v>7528.3875</v>
      </c>
      <c r="D13" s="720">
        <f>IF(C28=0,0,C13/C28)</f>
        <v>0.2572639917309636</v>
      </c>
      <c r="E13" s="711">
        <f>SUM(E14:E16)</f>
        <v>1125</v>
      </c>
      <c r="F13" s="720">
        <f>IF(E28=0,0,E13/E28)</f>
        <v>0.2572639917309636</v>
      </c>
      <c r="G13" s="711">
        <f>SUM(G14:G16)</f>
        <v>1350</v>
      </c>
      <c r="H13" s="711">
        <f>SUM(H14:H16)</f>
        <v>1552.4999999999998</v>
      </c>
      <c r="I13" s="711">
        <f>SUM(I14:I16)</f>
        <v>1707.75</v>
      </c>
      <c r="J13" s="711">
        <f>SUM(J14:J16)</f>
        <v>1793.1375</v>
      </c>
    </row>
    <row r="14" spans="1:10" ht="18" customHeight="1">
      <c r="A14" s="742" t="s">
        <v>1878</v>
      </c>
      <c r="B14" s="718" t="s">
        <v>126</v>
      </c>
      <c r="C14" s="711">
        <f aca="true" t="shared" si="1" ref="C14:C25">SUM(E14,G14:J14)</f>
        <v>7528.3875</v>
      </c>
      <c r="D14" s="720">
        <f>IF(C13=0,0,C14/C13)</f>
        <v>1</v>
      </c>
      <c r="E14" s="745">
        <f>'6. Пров закупівлі'!F155</f>
        <v>1125</v>
      </c>
      <c r="F14" s="720">
        <f>IF(E13=0,0,E14/E13)</f>
        <v>1</v>
      </c>
      <c r="G14" s="745">
        <f>E14*1.2</f>
        <v>1350</v>
      </c>
      <c r="H14" s="745">
        <f>G14*1.15</f>
        <v>1552.4999999999998</v>
      </c>
      <c r="I14" s="745">
        <f>H14*1.1</f>
        <v>1707.75</v>
      </c>
      <c r="J14" s="745">
        <f>I14*1.05</f>
        <v>1793.1375</v>
      </c>
    </row>
    <row r="15" spans="1:10" ht="19.5" customHeight="1">
      <c r="A15" s="742" t="s">
        <v>1880</v>
      </c>
      <c r="B15" s="718" t="s">
        <v>127</v>
      </c>
      <c r="C15" s="711">
        <f t="shared" si="1"/>
        <v>0</v>
      </c>
      <c r="D15" s="720">
        <f>IF(C13=0,0,C15/C13)</f>
        <v>0</v>
      </c>
      <c r="E15" s="745"/>
      <c r="F15" s="720">
        <f>IF(E13=0,0,E15/E13)</f>
        <v>0</v>
      </c>
      <c r="G15" s="745">
        <f>E15*1.5</f>
        <v>0</v>
      </c>
      <c r="H15" s="745">
        <f>G15*1.5</f>
        <v>0</v>
      </c>
      <c r="I15" s="745">
        <f>H15*1.5</f>
        <v>0</v>
      </c>
      <c r="J15" s="745">
        <f>I15*1.5</f>
        <v>0</v>
      </c>
    </row>
    <row r="16" spans="1:10" ht="19.5" customHeight="1">
      <c r="A16" s="742" t="s">
        <v>1691</v>
      </c>
      <c r="B16" s="718" t="s">
        <v>128</v>
      </c>
      <c r="C16" s="711"/>
      <c r="D16" s="720"/>
      <c r="E16" s="745"/>
      <c r="F16" s="720"/>
      <c r="G16" s="745"/>
      <c r="H16" s="745"/>
      <c r="I16" s="745"/>
      <c r="J16" s="745"/>
    </row>
    <row r="17" spans="1:10" ht="28.5" customHeight="1">
      <c r="A17" s="742" t="s">
        <v>1902</v>
      </c>
      <c r="B17" s="718" t="s">
        <v>129</v>
      </c>
      <c r="C17" s="711">
        <f>SUM(E17,G17:J17)</f>
        <v>13391.428766</v>
      </c>
      <c r="D17" s="720">
        <f>IF(C28=0,0,C17/C28)</f>
        <v>0.4576189017000005</v>
      </c>
      <c r="E17" s="711">
        <f>SUM(E18:E25)</f>
        <v>2001.14</v>
      </c>
      <c r="F17" s="720">
        <f>IF(E28=0,0,E17/E28)</f>
        <v>0.4576189017000004</v>
      </c>
      <c r="G17" s="711">
        <f>SUM(G18:G25)</f>
        <v>2401.3680000000004</v>
      </c>
      <c r="H17" s="711">
        <f>SUM(H18:H25)</f>
        <v>2761.5732</v>
      </c>
      <c r="I17" s="711">
        <f>SUM(I18:I25)</f>
        <v>3037.73052</v>
      </c>
      <c r="J17" s="711">
        <f>SUM(J18:J25)</f>
        <v>3189.617046</v>
      </c>
    </row>
    <row r="18" spans="1:10" ht="16.5" customHeight="1">
      <c r="A18" s="742" t="s">
        <v>1881</v>
      </c>
      <c r="B18" s="718" t="s">
        <v>130</v>
      </c>
      <c r="C18" s="711">
        <f t="shared" si="1"/>
        <v>0</v>
      </c>
      <c r="D18" s="720">
        <f>IF(C17=0,0,C18/C17)</f>
        <v>0</v>
      </c>
      <c r="E18" s="740"/>
      <c r="F18" s="720"/>
      <c r="G18" s="740"/>
      <c r="H18" s="740"/>
      <c r="I18" s="740"/>
      <c r="J18" s="740"/>
    </row>
    <row r="19" spans="1:10" ht="16.5" customHeight="1">
      <c r="A19" s="742" t="s">
        <v>1883</v>
      </c>
      <c r="B19" s="718" t="s">
        <v>131</v>
      </c>
      <c r="C19" s="711">
        <f t="shared" si="1"/>
        <v>0</v>
      </c>
      <c r="D19" s="720">
        <f>IF(C18=0,0,C19/C18)</f>
        <v>0</v>
      </c>
      <c r="E19" s="740"/>
      <c r="F19" s="720"/>
      <c r="G19" s="740"/>
      <c r="H19" s="740"/>
      <c r="I19" s="740"/>
      <c r="J19" s="740"/>
    </row>
    <row r="20" spans="1:10" ht="16.5" customHeight="1">
      <c r="A20" s="742" t="s">
        <v>1673</v>
      </c>
      <c r="B20" s="718" t="s">
        <v>132</v>
      </c>
      <c r="C20" s="711">
        <f t="shared" si="1"/>
        <v>1070.704</v>
      </c>
      <c r="D20" s="720">
        <f>IF(C17=0,0,C20/C17)</f>
        <v>0.07995442597719299</v>
      </c>
      <c r="E20" s="740">
        <f>'6. Пров закупівлі'!F162</f>
        <v>160</v>
      </c>
      <c r="F20" s="720">
        <f>IF(E17=0,0,E20/E17)</f>
        <v>0.079954425977193</v>
      </c>
      <c r="G20" s="740">
        <f>E20*1.2</f>
        <v>192</v>
      </c>
      <c r="H20" s="740">
        <f>G20*1.15</f>
        <v>220.79999999999998</v>
      </c>
      <c r="I20" s="740">
        <f>H20*1.1</f>
        <v>242.88</v>
      </c>
      <c r="J20" s="740">
        <f>I20*1.05</f>
        <v>255.024</v>
      </c>
    </row>
    <row r="21" spans="1:10" ht="16.5" customHeight="1">
      <c r="A21" s="742" t="s">
        <v>1674</v>
      </c>
      <c r="B21" s="718" t="s">
        <v>133</v>
      </c>
      <c r="C21" s="711">
        <f t="shared" si="1"/>
        <v>0</v>
      </c>
      <c r="D21" s="720">
        <f>IF(C20=0,0,C21/C20)</f>
        <v>0</v>
      </c>
      <c r="E21" s="740"/>
      <c r="F21" s="720"/>
      <c r="G21" s="740"/>
      <c r="H21" s="740"/>
      <c r="I21" s="740"/>
      <c r="J21" s="740"/>
    </row>
    <row r="22" spans="1:10" ht="17.25" customHeight="1">
      <c r="A22" s="742" t="s">
        <v>1721</v>
      </c>
      <c r="B22" s="718" t="s">
        <v>1759</v>
      </c>
      <c r="C22" s="711">
        <f t="shared" si="1"/>
        <v>0</v>
      </c>
      <c r="D22" s="720">
        <f>IF(C21=0,0,C22/C21)</f>
        <v>0</v>
      </c>
      <c r="E22" s="745"/>
      <c r="F22" s="720">
        <f>IF(E17=0,0,E22/E17)</f>
        <v>0</v>
      </c>
      <c r="G22" s="745"/>
      <c r="H22" s="745"/>
      <c r="I22" s="745"/>
      <c r="J22" s="745"/>
    </row>
    <row r="23" spans="1:10" ht="27.75" customHeight="1">
      <c r="A23" s="742" t="s">
        <v>1722</v>
      </c>
      <c r="B23" s="718" t="s">
        <v>134</v>
      </c>
      <c r="C23" s="711">
        <f t="shared" si="1"/>
        <v>2107.9485</v>
      </c>
      <c r="D23" s="720">
        <f>IF(C17=0,0,C23/C17)</f>
        <v>0.1574102761425987</v>
      </c>
      <c r="E23" s="745">
        <f>'6. Пров закупівлі'!F167</f>
        <v>315</v>
      </c>
      <c r="F23" s="720">
        <f>IF(E17=0,0,E23/E17)</f>
        <v>0.1574102761425987</v>
      </c>
      <c r="G23" s="745">
        <f>E23*1.2</f>
        <v>378</v>
      </c>
      <c r="H23" s="745">
        <f>G23*1.15</f>
        <v>434.7</v>
      </c>
      <c r="I23" s="745">
        <f>H23*1.1</f>
        <v>478.17</v>
      </c>
      <c r="J23" s="745">
        <f>I23*1.05</f>
        <v>502.0785</v>
      </c>
    </row>
    <row r="24" spans="1:10" ht="28.5" customHeight="1">
      <c r="A24" s="742" t="s">
        <v>1723</v>
      </c>
      <c r="B24" s="718" t="s">
        <v>173</v>
      </c>
      <c r="C24" s="711">
        <f t="shared" si="1"/>
        <v>10212.776266</v>
      </c>
      <c r="D24" s="720">
        <f>IF(C17=0,0,C24/C17)</f>
        <v>0.7626352978802083</v>
      </c>
      <c r="E24" s="745">
        <f>'6. Пров закупівлі'!F172</f>
        <v>1526.14</v>
      </c>
      <c r="F24" s="720">
        <f>IF(E17=0,0,E24/E17)</f>
        <v>0.7626352978802083</v>
      </c>
      <c r="G24" s="745">
        <f>E24*1.2</f>
        <v>1831.3680000000002</v>
      </c>
      <c r="H24" s="745">
        <f>G24*1.15</f>
        <v>2106.0732</v>
      </c>
      <c r="I24" s="745">
        <f>H24*1.1</f>
        <v>2316.68052</v>
      </c>
      <c r="J24" s="745">
        <f>I24*1.05</f>
        <v>2432.514546</v>
      </c>
    </row>
    <row r="25" spans="1:10" ht="18" customHeight="1">
      <c r="A25" s="742" t="s">
        <v>1724</v>
      </c>
      <c r="B25" s="718" t="s">
        <v>135</v>
      </c>
      <c r="C25" s="711">
        <f t="shared" si="1"/>
        <v>0</v>
      </c>
      <c r="D25" s="720">
        <f>IF(C24=0,0,C25/C24)</f>
        <v>0</v>
      </c>
      <c r="E25" s="745"/>
      <c r="F25" s="720"/>
      <c r="G25" s="745"/>
      <c r="H25" s="745"/>
      <c r="I25" s="745"/>
      <c r="J25" s="745"/>
    </row>
    <row r="26" spans="1:10" ht="28.5" customHeight="1">
      <c r="A26" s="742" t="s">
        <v>1903</v>
      </c>
      <c r="B26" s="718" t="s">
        <v>136</v>
      </c>
      <c r="C26" s="711"/>
      <c r="D26" s="720"/>
      <c r="E26" s="745"/>
      <c r="F26" s="795"/>
      <c r="G26" s="745"/>
      <c r="H26" s="745"/>
      <c r="I26" s="745"/>
      <c r="J26" s="745"/>
    </row>
    <row r="27" spans="1:10" ht="15">
      <c r="A27" s="742" t="s">
        <v>2081</v>
      </c>
      <c r="B27" s="718" t="s">
        <v>2088</v>
      </c>
      <c r="C27" s="711">
        <f>SUM(E27,G27:J27)</f>
        <v>0</v>
      </c>
      <c r="D27" s="720">
        <f>IF(C28=0,0,C27/C28)</f>
        <v>0</v>
      </c>
      <c r="E27" s="745"/>
      <c r="F27" s="720">
        <f>IF(E28=0,0,E27/E28)</f>
        <v>0</v>
      </c>
      <c r="G27" s="745">
        <f>E27*1.2</f>
        <v>0</v>
      </c>
      <c r="H27" s="745">
        <f>G27*1.15</f>
        <v>0</v>
      </c>
      <c r="I27" s="745">
        <f>H27*1.1</f>
        <v>0</v>
      </c>
      <c r="J27" s="745">
        <f>I27*1.05</f>
        <v>0</v>
      </c>
    </row>
    <row r="28" spans="1:10" ht="15">
      <c r="A28" s="718"/>
      <c r="B28" s="718" t="s">
        <v>1681</v>
      </c>
      <c r="C28" s="711">
        <f>SUM(C27,C17,C13,C7)</f>
        <v>29263.277186</v>
      </c>
      <c r="D28" s="720">
        <f aca="true" t="shared" si="2" ref="D28:J28">SUM(D27,D17,D13,D7)</f>
        <v>1</v>
      </c>
      <c r="E28" s="711">
        <f>SUM(E27,E17,E13,E7)</f>
        <v>4372.9400000000005</v>
      </c>
      <c r="F28" s="720">
        <f t="shared" si="2"/>
        <v>0.9999999999999999</v>
      </c>
      <c r="G28" s="711">
        <f t="shared" si="2"/>
        <v>5247.528</v>
      </c>
      <c r="H28" s="711">
        <f t="shared" si="2"/>
        <v>6034.6572</v>
      </c>
      <c r="I28" s="711">
        <f t="shared" si="2"/>
        <v>6638.12292</v>
      </c>
      <c r="J28" s="711">
        <f t="shared" si="2"/>
        <v>6970.029066</v>
      </c>
    </row>
  </sheetData>
  <sheetProtection/>
  <mergeCells count="13">
    <mergeCell ref="C2:D3"/>
    <mergeCell ref="E2:J2"/>
    <mergeCell ref="E3:F3"/>
    <mergeCell ref="E4:F4"/>
    <mergeCell ref="J4:J5"/>
    <mergeCell ref="I4:I5"/>
    <mergeCell ref="A1:J1"/>
    <mergeCell ref="H4:H5"/>
    <mergeCell ref="G4:G5"/>
    <mergeCell ref="A2:A5"/>
    <mergeCell ref="B2:B5"/>
    <mergeCell ref="C4:C5"/>
    <mergeCell ref="D4:D5"/>
  </mergeCells>
  <printOptions/>
  <pageMargins left="0.9448818897637796" right="0.3937007874015748" top="0.7874015748031497" bottom="0.3937007874015748" header="0.5118110236220472" footer="0.5118110236220472"/>
  <pageSetup horizontalDpi="600" verticalDpi="600" orientation="landscape" paperSize="9" scale="84" r:id="rId1"/>
  <colBreaks count="1" manualBreakCount="1">
    <brk id="10" max="22" man="1"/>
  </colBreaks>
</worksheet>
</file>

<file path=xl/worksheets/sheet28.xml><?xml version="1.0" encoding="utf-8"?>
<worksheet xmlns="http://schemas.openxmlformats.org/spreadsheetml/2006/main" xmlns:r="http://schemas.openxmlformats.org/officeDocument/2006/relationships">
  <sheetPr>
    <tabColor rgb="FF00B050"/>
  </sheetPr>
  <dimension ref="A1:M17"/>
  <sheetViews>
    <sheetView showZeros="0" view="pageBreakPreview" zoomScaleSheetLayoutView="100" zoomScalePageLayoutView="0" workbookViewId="0" topLeftCell="A1">
      <selection activeCell="M13" sqref="M13"/>
    </sheetView>
  </sheetViews>
  <sheetFormatPr defaultColWidth="9.00390625" defaultRowHeight="12.75"/>
  <cols>
    <col min="1" max="1" width="9.125" style="3" customWidth="1"/>
    <col min="2" max="2" width="8.625" style="3" customWidth="1"/>
    <col min="3" max="3" width="25.375" style="3" customWidth="1"/>
    <col min="4" max="4" width="14.125" style="3" customWidth="1"/>
    <col min="5" max="5" width="11.875" style="3" customWidth="1"/>
    <col min="6" max="6" width="13.00390625" style="3" customWidth="1"/>
    <col min="7" max="7" width="10.00390625" style="3" customWidth="1"/>
    <col min="8" max="8" width="19.125" style="3" customWidth="1"/>
    <col min="9" max="9" width="11.625" style="3" customWidth="1"/>
    <col min="10" max="11" width="11.125" style="3" customWidth="1"/>
    <col min="12" max="12" width="10.875" style="3" customWidth="1"/>
    <col min="13" max="16384" width="9.125" style="3" customWidth="1"/>
  </cols>
  <sheetData>
    <row r="1" spans="1:12" ht="27" customHeight="1">
      <c r="A1" s="1620" t="s">
        <v>137</v>
      </c>
      <c r="B1" s="1620"/>
      <c r="C1" s="1620"/>
      <c r="D1" s="1620"/>
      <c r="E1" s="1620"/>
      <c r="F1" s="1620"/>
      <c r="G1" s="1620"/>
      <c r="H1" s="1620"/>
      <c r="I1" s="1620"/>
      <c r="J1" s="1620"/>
      <c r="K1" s="1620"/>
      <c r="L1" s="1620"/>
    </row>
    <row r="2" spans="1:12" s="1" customFormat="1" ht="15.75" customHeight="1">
      <c r="A2" s="1600" t="s">
        <v>2082</v>
      </c>
      <c r="B2" s="1600" t="s">
        <v>2090</v>
      </c>
      <c r="C2" s="1600"/>
      <c r="D2" s="1631" t="s">
        <v>2189</v>
      </c>
      <c r="E2" s="1631"/>
      <c r="F2" s="1600" t="s">
        <v>61</v>
      </c>
      <c r="G2" s="1600"/>
      <c r="H2" s="1600"/>
      <c r="I2" s="1600"/>
      <c r="J2" s="1600"/>
      <c r="K2" s="1600"/>
      <c r="L2" s="1600"/>
    </row>
    <row r="3" spans="1:12" s="2" customFormat="1" ht="28.5" customHeight="1">
      <c r="A3" s="1600"/>
      <c r="B3" s="1600"/>
      <c r="C3" s="1600"/>
      <c r="D3" s="1631"/>
      <c r="E3" s="1631"/>
      <c r="F3" s="1626">
        <v>2015</v>
      </c>
      <c r="G3" s="1627"/>
      <c r="H3" s="1627"/>
      <c r="I3" s="367">
        <v>2016</v>
      </c>
      <c r="J3" s="367">
        <v>2017</v>
      </c>
      <c r="K3" s="367">
        <v>2018</v>
      </c>
      <c r="L3" s="367">
        <v>2019</v>
      </c>
    </row>
    <row r="4" spans="1:12" s="2" customFormat="1" ht="27" customHeight="1">
      <c r="A4" s="1600"/>
      <c r="B4" s="1600"/>
      <c r="C4" s="1600"/>
      <c r="D4" s="1600" t="s">
        <v>452</v>
      </c>
      <c r="E4" s="1600" t="s">
        <v>2085</v>
      </c>
      <c r="F4" s="1600" t="s">
        <v>66</v>
      </c>
      <c r="G4" s="1600"/>
      <c r="H4" s="1600" t="s">
        <v>147</v>
      </c>
      <c r="I4" s="1600" t="s">
        <v>1873</v>
      </c>
      <c r="J4" s="1600" t="s">
        <v>1873</v>
      </c>
      <c r="K4" s="1600" t="s">
        <v>1873</v>
      </c>
      <c r="L4" s="1600" t="s">
        <v>1873</v>
      </c>
    </row>
    <row r="5" spans="1:12" s="2" customFormat="1" ht="15.75" customHeight="1" hidden="1">
      <c r="A5" s="1600"/>
      <c r="B5" s="1600"/>
      <c r="C5" s="1600"/>
      <c r="D5" s="1600"/>
      <c r="E5" s="1600"/>
      <c r="F5" s="1600"/>
      <c r="G5" s="1600"/>
      <c r="H5" s="1600"/>
      <c r="I5" s="1600"/>
      <c r="J5" s="1600"/>
      <c r="K5" s="1600"/>
      <c r="L5" s="1600"/>
    </row>
    <row r="6" spans="1:12" s="1" customFormat="1" ht="24" customHeight="1">
      <c r="A6" s="1600"/>
      <c r="B6" s="1600"/>
      <c r="C6" s="1600"/>
      <c r="D6" s="1600"/>
      <c r="E6" s="1600"/>
      <c r="F6" s="304" t="s">
        <v>1873</v>
      </c>
      <c r="G6" s="304" t="s">
        <v>2085</v>
      </c>
      <c r="H6" s="1600"/>
      <c r="I6" s="1600"/>
      <c r="J6" s="1600"/>
      <c r="K6" s="1600"/>
      <c r="L6" s="1600"/>
    </row>
    <row r="7" spans="1:12" s="1" customFormat="1" ht="14.25" customHeight="1">
      <c r="A7" s="738">
        <v>1</v>
      </c>
      <c r="B7" s="1629">
        <v>2</v>
      </c>
      <c r="C7" s="1629"/>
      <c r="D7" s="738">
        <v>3</v>
      </c>
      <c r="E7" s="738">
        <v>4</v>
      </c>
      <c r="F7" s="738">
        <v>5</v>
      </c>
      <c r="G7" s="738">
        <v>6</v>
      </c>
      <c r="H7" s="738">
        <v>7</v>
      </c>
      <c r="I7" s="738">
        <v>8</v>
      </c>
      <c r="J7" s="738">
        <v>9</v>
      </c>
      <c r="K7" s="738">
        <v>10</v>
      </c>
      <c r="L7" s="738">
        <v>11</v>
      </c>
    </row>
    <row r="8" spans="1:13" ht="25.5" customHeight="1">
      <c r="A8" s="718">
        <v>1</v>
      </c>
      <c r="B8" s="1628" t="s">
        <v>2117</v>
      </c>
      <c r="C8" s="1628"/>
      <c r="D8" s="711">
        <f aca="true" t="shared" si="0" ref="D8:D14">SUM(F8,I8:L8)</f>
        <v>2449.2354</v>
      </c>
      <c r="E8" s="720">
        <f>IF(D15=0,0,D8/D15)</f>
        <v>1</v>
      </c>
      <c r="F8" s="711">
        <f>SUM(F9:F12)</f>
        <v>366</v>
      </c>
      <c r="G8" s="720">
        <f>IF(F15=0,0,F8/F15)</f>
        <v>1</v>
      </c>
      <c r="H8" s="743"/>
      <c r="I8" s="711">
        <f>SUM(I9:I12)</f>
        <v>439.2</v>
      </c>
      <c r="J8" s="711">
        <f>SUM(J9:J12)</f>
        <v>505.0799999999999</v>
      </c>
      <c r="K8" s="711">
        <f>SUM(K9:K12)</f>
        <v>555.588</v>
      </c>
      <c r="L8" s="711">
        <f>SUM(L9:L12)</f>
        <v>583.3674</v>
      </c>
      <c r="M8" s="31"/>
    </row>
    <row r="9" spans="1:13" ht="30.75" customHeight="1">
      <c r="A9" s="742" t="s">
        <v>1874</v>
      </c>
      <c r="B9" s="1628" t="s">
        <v>138</v>
      </c>
      <c r="C9" s="1628"/>
      <c r="D9" s="711">
        <f t="shared" si="0"/>
        <v>107.0704</v>
      </c>
      <c r="E9" s="720">
        <f>IF(D8=0,0,D9/D8)</f>
        <v>0.04371584699453552</v>
      </c>
      <c r="F9" s="745">
        <f>'6. Пров закупівлі'!F181</f>
        <v>16</v>
      </c>
      <c r="G9" s="720">
        <f>IF(F8=0,0,F9/F8)</f>
        <v>0.04371584699453552</v>
      </c>
      <c r="H9" s="743"/>
      <c r="I9" s="745">
        <f>F9*1.2</f>
        <v>19.2</v>
      </c>
      <c r="J9" s="745">
        <f>I9*1.15</f>
        <v>22.08</v>
      </c>
      <c r="K9" s="745">
        <f>J9*1.1</f>
        <v>24.288</v>
      </c>
      <c r="L9" s="745">
        <f>K9*1.05</f>
        <v>25.5024</v>
      </c>
      <c r="M9" s="31"/>
    </row>
    <row r="10" spans="1:13" ht="33" customHeight="1">
      <c r="A10" s="742" t="s">
        <v>1875</v>
      </c>
      <c r="B10" s="1628" t="s">
        <v>139</v>
      </c>
      <c r="C10" s="1628"/>
      <c r="D10" s="711">
        <f t="shared" si="0"/>
        <v>2342.165</v>
      </c>
      <c r="E10" s="720">
        <f>IF(D8=0,0,D10/D8)</f>
        <v>0.9562841530054644</v>
      </c>
      <c r="F10" s="745">
        <f>'6. Пров закупівлі'!F184</f>
        <v>350</v>
      </c>
      <c r="G10" s="720">
        <f>IF(F8=0,0,F10/F8)</f>
        <v>0.9562841530054644</v>
      </c>
      <c r="H10" s="743"/>
      <c r="I10" s="745">
        <f>F10*1.2</f>
        <v>420</v>
      </c>
      <c r="J10" s="745">
        <f>I10*1.15</f>
        <v>482.99999999999994</v>
      </c>
      <c r="K10" s="745">
        <f>J10*1.1</f>
        <v>531.3</v>
      </c>
      <c r="L10" s="745">
        <f>K10*1.05</f>
        <v>557.865</v>
      </c>
      <c r="M10" s="31"/>
    </row>
    <row r="11" spans="1:12" ht="46.5" customHeight="1">
      <c r="A11" s="742" t="s">
        <v>1952</v>
      </c>
      <c r="B11" s="1628" t="s">
        <v>140</v>
      </c>
      <c r="C11" s="1628"/>
      <c r="D11" s="711">
        <f t="shared" si="0"/>
        <v>0</v>
      </c>
      <c r="E11" s="720">
        <f>IF(D8=0,0,D11/D8)</f>
        <v>0</v>
      </c>
      <c r="F11" s="745">
        <f>'6. Пров закупівлі'!F187</f>
        <v>0</v>
      </c>
      <c r="G11" s="720">
        <f>IF(F8=0,0,F11/F8)</f>
        <v>0</v>
      </c>
      <c r="H11" s="743"/>
      <c r="I11" s="745">
        <f>F11*1.2</f>
        <v>0</v>
      </c>
      <c r="J11" s="745">
        <f>I11*1.15</f>
        <v>0</v>
      </c>
      <c r="K11" s="745">
        <f>J11*1.1</f>
        <v>0</v>
      </c>
      <c r="L11" s="745">
        <f>K11*1.05</f>
        <v>0</v>
      </c>
    </row>
    <row r="12" spans="1:12" ht="28.5" customHeight="1">
      <c r="A12" s="742" t="s">
        <v>1953</v>
      </c>
      <c r="B12" s="1628" t="s">
        <v>141</v>
      </c>
      <c r="C12" s="1628"/>
      <c r="D12" s="711">
        <f t="shared" si="0"/>
        <v>0</v>
      </c>
      <c r="E12" s="720">
        <f>IF(D8=0,0,D12/D8)</f>
        <v>0</v>
      </c>
      <c r="F12" s="745"/>
      <c r="G12" s="720">
        <f>IF(F8=0,0,F12/F8)</f>
        <v>0</v>
      </c>
      <c r="H12" s="743"/>
      <c r="I12" s="745"/>
      <c r="J12" s="745"/>
      <c r="K12" s="745"/>
      <c r="L12" s="745"/>
    </row>
    <row r="13" spans="1:12" ht="32.25" customHeight="1">
      <c r="A13" s="742" t="s">
        <v>1901</v>
      </c>
      <c r="B13" s="1628" t="s">
        <v>2096</v>
      </c>
      <c r="C13" s="1628"/>
      <c r="D13" s="711">
        <f t="shared" si="0"/>
        <v>0</v>
      </c>
      <c r="E13" s="720">
        <f>IF(D15=0,0,D13/D15)</f>
        <v>0</v>
      </c>
      <c r="F13" s="745">
        <f>'6. Пров закупівлі'!F197</f>
        <v>0</v>
      </c>
      <c r="G13" s="720">
        <f>IF(F15=0,0,F13/F15)</f>
        <v>0</v>
      </c>
      <c r="H13" s="743"/>
      <c r="I13" s="745">
        <f>F13*1.2</f>
        <v>0</v>
      </c>
      <c r="J13" s="745">
        <f>I13*1.15</f>
        <v>0</v>
      </c>
      <c r="K13" s="745">
        <f>J13*1.1</f>
        <v>0</v>
      </c>
      <c r="L13" s="745">
        <f>K13*1.05</f>
        <v>0</v>
      </c>
    </row>
    <row r="14" spans="1:12" ht="16.5" customHeight="1">
      <c r="A14" s="742" t="s">
        <v>1902</v>
      </c>
      <c r="B14" s="1628" t="s">
        <v>2088</v>
      </c>
      <c r="C14" s="1628"/>
      <c r="D14" s="711">
        <f t="shared" si="0"/>
        <v>0</v>
      </c>
      <c r="E14" s="720">
        <f>IF(D15=0,0,D14/D15)</f>
        <v>0</v>
      </c>
      <c r="F14" s="745">
        <f>'6. Пров закупівлі'!F200</f>
        <v>0</v>
      </c>
      <c r="G14" s="720">
        <f>IF(F15=0,0,F14/F15)</f>
        <v>0</v>
      </c>
      <c r="H14" s="743"/>
      <c r="I14" s="745">
        <f>F14*1.2</f>
        <v>0</v>
      </c>
      <c r="J14" s="745">
        <f>I14*1.15</f>
        <v>0</v>
      </c>
      <c r="K14" s="745">
        <f>J14*1.1</f>
        <v>0</v>
      </c>
      <c r="L14" s="745">
        <f>K14*1.05</f>
        <v>0</v>
      </c>
    </row>
    <row r="15" spans="1:12" ht="18.75" customHeight="1">
      <c r="A15" s="744"/>
      <c r="B15" s="1600" t="s">
        <v>1681</v>
      </c>
      <c r="C15" s="1600"/>
      <c r="D15" s="369">
        <f>SUM(D8,D13,D14)</f>
        <v>2449.2354</v>
      </c>
      <c r="E15" s="796">
        <f>SUM(E8,E13,E14)</f>
        <v>1</v>
      </c>
      <c r="F15" s="369">
        <f>SUM(F8,F13,F14)</f>
        <v>366</v>
      </c>
      <c r="G15" s="796">
        <f>SUM(G8,G13,G14)</f>
        <v>1</v>
      </c>
      <c r="H15" s="743"/>
      <c r="I15" s="369">
        <f>SUM(I8,I13,I14)</f>
        <v>439.2</v>
      </c>
      <c r="J15" s="369">
        <f>SUM(J8,J13,J14)</f>
        <v>505.0799999999999</v>
      </c>
      <c r="K15" s="369">
        <f>SUM(K8,K13,K14)</f>
        <v>555.588</v>
      </c>
      <c r="L15" s="369">
        <f>SUM(L8,L13,L14)</f>
        <v>583.3674</v>
      </c>
    </row>
    <row r="16" spans="4:5" ht="12.75">
      <c r="D16" s="9"/>
      <c r="E16" s="9"/>
    </row>
    <row r="17" spans="4:5" ht="12.75">
      <c r="D17" s="9"/>
      <c r="E17" s="9"/>
    </row>
  </sheetData>
  <sheetProtection/>
  <mergeCells count="23">
    <mergeCell ref="B10:C10"/>
    <mergeCell ref="A2:A6"/>
    <mergeCell ref="B2:C6"/>
    <mergeCell ref="D2:E3"/>
    <mergeCell ref="D4:D6"/>
    <mergeCell ref="E4:E6"/>
    <mergeCell ref="B7:C7"/>
    <mergeCell ref="L4:L6"/>
    <mergeCell ref="F2:L2"/>
    <mergeCell ref="F3:H3"/>
    <mergeCell ref="F4:G5"/>
    <mergeCell ref="I4:I6"/>
    <mergeCell ref="H4:H6"/>
    <mergeCell ref="A1:L1"/>
    <mergeCell ref="B15:C15"/>
    <mergeCell ref="B11:C11"/>
    <mergeCell ref="B12:C12"/>
    <mergeCell ref="B13:C13"/>
    <mergeCell ref="B14:C14"/>
    <mergeCell ref="B8:C8"/>
    <mergeCell ref="B9:C9"/>
    <mergeCell ref="J4:J6"/>
    <mergeCell ref="K4:K6"/>
  </mergeCells>
  <printOptions/>
  <pageMargins left="0.984251968503937" right="0.3937007874015748" top="0.7874015748031497" bottom="0.984251968503937" header="0.5118110236220472" footer="0.5118110236220472"/>
  <pageSetup horizontalDpi="600" verticalDpi="600" orientation="landscape" paperSize="9" scale="80" r:id="rId1"/>
</worksheet>
</file>

<file path=xl/worksheets/sheet29.xml><?xml version="1.0" encoding="utf-8"?>
<worksheet xmlns="http://schemas.openxmlformats.org/spreadsheetml/2006/main" xmlns:r="http://schemas.openxmlformats.org/officeDocument/2006/relationships">
  <sheetPr>
    <tabColor rgb="FF00B050"/>
  </sheetPr>
  <dimension ref="A1:I77"/>
  <sheetViews>
    <sheetView view="pageBreakPreview" zoomScaleSheetLayoutView="100" zoomScalePageLayoutView="0" workbookViewId="0" topLeftCell="A1">
      <selection activeCell="B47" sqref="B47:H47"/>
    </sheetView>
  </sheetViews>
  <sheetFormatPr defaultColWidth="9.00390625" defaultRowHeight="12.75" outlineLevelRow="1"/>
  <cols>
    <col min="1" max="1" width="6.00390625" style="47" customWidth="1"/>
    <col min="2" max="2" width="28.875" style="46" customWidth="1"/>
    <col min="3" max="3" width="11.75390625" style="46" customWidth="1"/>
    <col min="4" max="4" width="21.625" style="46" customWidth="1"/>
    <col min="5" max="5" width="25.00390625" style="46" customWidth="1"/>
    <col min="6" max="6" width="25.25390625" style="46" customWidth="1"/>
    <col min="7" max="7" width="26.00390625" style="71" customWidth="1"/>
    <col min="8" max="8" width="24.875" style="46" customWidth="1"/>
    <col min="9" max="9" width="17.625" style="46" customWidth="1"/>
    <col min="10" max="16384" width="9.125" style="46" customWidth="1"/>
  </cols>
  <sheetData>
    <row r="1" spans="1:9" ht="30.75" customHeight="1">
      <c r="A1" s="1646" t="s">
        <v>153</v>
      </c>
      <c r="B1" s="1647"/>
      <c r="C1" s="1647"/>
      <c r="D1" s="1647"/>
      <c r="E1" s="1647"/>
      <c r="F1" s="1647"/>
      <c r="G1" s="1647"/>
      <c r="H1" s="1647"/>
      <c r="I1" s="1648"/>
    </row>
    <row r="2" spans="1:9" ht="105.75" customHeight="1">
      <c r="A2" s="772" t="s">
        <v>2004</v>
      </c>
      <c r="B2" s="326" t="s">
        <v>116</v>
      </c>
      <c r="C2" s="326" t="s">
        <v>117</v>
      </c>
      <c r="D2" s="326" t="s">
        <v>460</v>
      </c>
      <c r="E2" s="326" t="s">
        <v>455</v>
      </c>
      <c r="F2" s="326" t="s">
        <v>461</v>
      </c>
      <c r="G2" s="326" t="s">
        <v>462</v>
      </c>
      <c r="H2" s="326" t="s">
        <v>463</v>
      </c>
      <c r="I2" s="797" t="s">
        <v>1747</v>
      </c>
    </row>
    <row r="3" spans="1:9" s="51" customFormat="1" ht="15">
      <c r="A3" s="798">
        <v>1</v>
      </c>
      <c r="B3" s="799">
        <v>2</v>
      </c>
      <c r="C3" s="799">
        <v>3</v>
      </c>
      <c r="D3" s="799">
        <v>4</v>
      </c>
      <c r="E3" s="799">
        <v>5</v>
      </c>
      <c r="F3" s="799">
        <v>6</v>
      </c>
      <c r="G3" s="799">
        <v>7</v>
      </c>
      <c r="H3" s="798" t="s">
        <v>1905</v>
      </c>
      <c r="I3" s="800">
        <v>9</v>
      </c>
    </row>
    <row r="4" spans="1:9" ht="14.25" customHeight="1">
      <c r="A4" s="801">
        <v>1</v>
      </c>
      <c r="B4" s="1649" t="s">
        <v>142</v>
      </c>
      <c r="C4" s="1649"/>
      <c r="D4" s="1649"/>
      <c r="E4" s="1649"/>
      <c r="F4" s="1649"/>
      <c r="G4" s="1649"/>
      <c r="H4" s="1649"/>
      <c r="I4" s="802"/>
    </row>
    <row r="5" spans="1:9" ht="59.25" customHeight="1">
      <c r="A5" s="801" t="s">
        <v>1874</v>
      </c>
      <c r="B5" s="803" t="s">
        <v>805</v>
      </c>
      <c r="C5" s="804" t="s">
        <v>806</v>
      </c>
      <c r="D5" s="805">
        <v>2263.3333333333335</v>
      </c>
      <c r="E5" s="805">
        <v>1669.1916666666666</v>
      </c>
      <c r="F5" s="806"/>
      <c r="G5" s="807"/>
      <c r="H5" s="806"/>
      <c r="I5" s="802"/>
    </row>
    <row r="6" spans="1:9" ht="30.75" customHeight="1">
      <c r="A6" s="801" t="s">
        <v>1875</v>
      </c>
      <c r="B6" s="803" t="s">
        <v>807</v>
      </c>
      <c r="C6" s="804">
        <v>2006</v>
      </c>
      <c r="D6" s="805">
        <v>1388.3333333333335</v>
      </c>
      <c r="E6" s="805">
        <v>1339.75</v>
      </c>
      <c r="F6" s="806"/>
      <c r="G6" s="807"/>
      <c r="H6" s="806"/>
      <c r="I6" s="802"/>
    </row>
    <row r="7" spans="1:9" ht="28.5" customHeight="1">
      <c r="A7" s="801" t="s">
        <v>1952</v>
      </c>
      <c r="B7" s="803" t="s">
        <v>808</v>
      </c>
      <c r="C7" s="804">
        <v>2008</v>
      </c>
      <c r="D7" s="805">
        <v>1742.5</v>
      </c>
      <c r="E7" s="805">
        <v>1929.6483333333333</v>
      </c>
      <c r="F7" s="806"/>
      <c r="G7" s="807"/>
      <c r="H7" s="806"/>
      <c r="I7" s="802"/>
    </row>
    <row r="8" spans="1:9" ht="30" customHeight="1">
      <c r="A8" s="801" t="s">
        <v>1953</v>
      </c>
      <c r="B8" s="803" t="s">
        <v>809</v>
      </c>
      <c r="C8" s="804">
        <v>2009</v>
      </c>
      <c r="D8" s="805">
        <v>1388.3333333333335</v>
      </c>
      <c r="E8" s="805">
        <v>2365</v>
      </c>
      <c r="F8" s="806"/>
      <c r="G8" s="807"/>
      <c r="H8" s="806"/>
      <c r="I8" s="802"/>
    </row>
    <row r="9" spans="1:9" ht="32.25" customHeight="1">
      <c r="A9" s="801" t="s">
        <v>1954</v>
      </c>
      <c r="B9" s="803" t="s">
        <v>810</v>
      </c>
      <c r="C9" s="804">
        <v>2010</v>
      </c>
      <c r="D9" s="805">
        <v>694.1666666666667</v>
      </c>
      <c r="E9" s="805">
        <v>1182.5</v>
      </c>
      <c r="F9" s="805"/>
      <c r="G9" s="807"/>
      <c r="H9" s="806"/>
      <c r="I9" s="802"/>
    </row>
    <row r="10" spans="1:9" ht="45.75" customHeight="1">
      <c r="A10" s="801" t="s">
        <v>1955</v>
      </c>
      <c r="B10" s="808" t="s">
        <v>811</v>
      </c>
      <c r="C10" s="804">
        <v>2012</v>
      </c>
      <c r="D10" s="805">
        <v>4215.833333333334</v>
      </c>
      <c r="E10" s="805">
        <v>3254.166666666667</v>
      </c>
      <c r="F10" s="805"/>
      <c r="G10" s="809"/>
      <c r="H10" s="806"/>
      <c r="I10" s="802"/>
    </row>
    <row r="11" spans="1:9" ht="32.25" customHeight="1">
      <c r="A11" s="801" t="s">
        <v>1956</v>
      </c>
      <c r="B11" s="803" t="s">
        <v>812</v>
      </c>
      <c r="C11" s="804">
        <v>2013</v>
      </c>
      <c r="D11" s="805">
        <v>1735.1833333333332</v>
      </c>
      <c r="E11" s="810">
        <v>1735.1833333333332</v>
      </c>
      <c r="F11" s="810"/>
      <c r="G11" s="810"/>
      <c r="H11" s="810"/>
      <c r="I11" s="802"/>
    </row>
    <row r="12" spans="1:9" ht="32.25" customHeight="1">
      <c r="A12" s="801" t="s">
        <v>1957</v>
      </c>
      <c r="B12" s="803" t="s">
        <v>472</v>
      </c>
      <c r="C12" s="804">
        <v>2014</v>
      </c>
      <c r="D12" s="810">
        <v>2062.2</v>
      </c>
      <c r="E12" s="810"/>
      <c r="F12" s="807"/>
      <c r="G12" s="810"/>
      <c r="H12" s="810">
        <v>2062.2</v>
      </c>
      <c r="I12" s="802"/>
    </row>
    <row r="13" spans="1:9" ht="33" customHeight="1">
      <c r="A13" s="801" t="s">
        <v>1958</v>
      </c>
      <c r="B13" s="811" t="s">
        <v>473</v>
      </c>
      <c r="C13" s="804">
        <v>2015</v>
      </c>
      <c r="D13" s="805">
        <v>3768.5</v>
      </c>
      <c r="E13" s="810"/>
      <c r="F13" s="807"/>
      <c r="G13" s="807"/>
      <c r="H13" s="810">
        <f>1959.88333333333+1808.62</f>
        <v>3768.50333333333</v>
      </c>
      <c r="I13" s="802"/>
    </row>
    <row r="14" spans="1:9" ht="45.75" customHeight="1">
      <c r="A14" s="801" t="s">
        <v>1959</v>
      </c>
      <c r="B14" s="803" t="s">
        <v>813</v>
      </c>
      <c r="C14" s="804">
        <v>2016</v>
      </c>
      <c r="D14" s="805">
        <v>2976.666666666667</v>
      </c>
      <c r="E14" s="805"/>
      <c r="F14" s="806"/>
      <c r="G14" s="807"/>
      <c r="H14" s="805">
        <v>2976.666666666667</v>
      </c>
      <c r="I14" s="802"/>
    </row>
    <row r="15" spans="1:9" ht="48" customHeight="1">
      <c r="A15" s="801" t="s">
        <v>1960</v>
      </c>
      <c r="B15" s="803" t="s">
        <v>814</v>
      </c>
      <c r="C15" s="804">
        <v>2017</v>
      </c>
      <c r="D15" s="805">
        <v>3251.666666666667</v>
      </c>
      <c r="E15" s="805"/>
      <c r="F15" s="806"/>
      <c r="G15" s="807"/>
      <c r="H15" s="805">
        <v>3251.666666666667</v>
      </c>
      <c r="I15" s="802"/>
    </row>
    <row r="16" spans="1:9" ht="44.25" customHeight="1">
      <c r="A16" s="801" t="s">
        <v>1961</v>
      </c>
      <c r="B16" s="811" t="s">
        <v>815</v>
      </c>
      <c r="C16" s="799">
        <v>2018</v>
      </c>
      <c r="D16" s="810">
        <v>1099.1666666666667</v>
      </c>
      <c r="E16" s="810"/>
      <c r="F16" s="810"/>
      <c r="G16" s="810"/>
      <c r="H16" s="810">
        <v>1099.1666666666667</v>
      </c>
      <c r="I16" s="802"/>
    </row>
    <row r="17" spans="1:9" ht="15" customHeight="1">
      <c r="A17" s="812">
        <v>2</v>
      </c>
      <c r="B17" s="1649" t="s">
        <v>143</v>
      </c>
      <c r="C17" s="1649"/>
      <c r="D17" s="1649"/>
      <c r="E17" s="1649"/>
      <c r="F17" s="1649"/>
      <c r="G17" s="1649"/>
      <c r="H17" s="1649"/>
      <c r="I17" s="802"/>
    </row>
    <row r="18" spans="1:9" ht="15" customHeight="1">
      <c r="A18" s="813" t="s">
        <v>1878</v>
      </c>
      <c r="B18" s="814" t="s">
        <v>309</v>
      </c>
      <c r="C18" s="815">
        <v>2004</v>
      </c>
      <c r="D18" s="816">
        <v>45.88333333333334</v>
      </c>
      <c r="E18" s="817">
        <v>45.88333333333334</v>
      </c>
      <c r="F18" s="818"/>
      <c r="G18" s="819"/>
      <c r="H18" s="819"/>
      <c r="I18" s="820"/>
    </row>
    <row r="19" spans="1:9" ht="15" customHeight="1">
      <c r="A19" s="813" t="s">
        <v>1880</v>
      </c>
      <c r="B19" s="814" t="s">
        <v>310</v>
      </c>
      <c r="C19" s="815">
        <v>2005</v>
      </c>
      <c r="D19" s="816">
        <v>238.4</v>
      </c>
      <c r="E19" s="817">
        <v>238.4</v>
      </c>
      <c r="F19" s="818"/>
      <c r="G19" s="819"/>
      <c r="H19" s="819"/>
      <c r="I19" s="820"/>
    </row>
    <row r="20" spans="1:9" ht="15" customHeight="1">
      <c r="A20" s="813" t="s">
        <v>1691</v>
      </c>
      <c r="B20" s="814" t="s">
        <v>311</v>
      </c>
      <c r="C20" s="815">
        <v>2006</v>
      </c>
      <c r="D20" s="816">
        <v>168.25</v>
      </c>
      <c r="E20" s="817">
        <v>168.25</v>
      </c>
      <c r="F20" s="818"/>
      <c r="G20" s="819"/>
      <c r="H20" s="819"/>
      <c r="I20" s="820"/>
    </row>
    <row r="21" spans="1:9" ht="15" customHeight="1">
      <c r="A21" s="813" t="s">
        <v>1942</v>
      </c>
      <c r="B21" s="814" t="s">
        <v>312</v>
      </c>
      <c r="C21" s="815">
        <v>2006</v>
      </c>
      <c r="D21" s="816">
        <v>224.33333333333334</v>
      </c>
      <c r="E21" s="817">
        <v>224.33333333333334</v>
      </c>
      <c r="F21" s="818"/>
      <c r="G21" s="819"/>
      <c r="H21" s="819"/>
      <c r="I21" s="820"/>
    </row>
    <row r="22" spans="1:9" ht="15" customHeight="1">
      <c r="A22" s="813" t="s">
        <v>1943</v>
      </c>
      <c r="B22" s="814" t="s">
        <v>313</v>
      </c>
      <c r="C22" s="815">
        <v>2007</v>
      </c>
      <c r="D22" s="816">
        <v>164.03333333333333</v>
      </c>
      <c r="E22" s="817">
        <v>164.03333333333333</v>
      </c>
      <c r="F22" s="818"/>
      <c r="G22" s="819"/>
      <c r="H22" s="819"/>
      <c r="I22" s="820"/>
    </row>
    <row r="23" spans="1:9" ht="15" customHeight="1">
      <c r="A23" s="813" t="s">
        <v>1734</v>
      </c>
      <c r="B23" s="814" t="s">
        <v>314</v>
      </c>
      <c r="C23" s="815">
        <v>2007</v>
      </c>
      <c r="D23" s="816">
        <v>61.516666666666666</v>
      </c>
      <c r="E23" s="817">
        <v>61.516666666666666</v>
      </c>
      <c r="F23" s="818"/>
      <c r="G23" s="819"/>
      <c r="H23" s="819"/>
      <c r="I23" s="820"/>
    </row>
    <row r="24" spans="1:9" ht="15" customHeight="1">
      <c r="A24" s="813" t="s">
        <v>1738</v>
      </c>
      <c r="B24" s="814" t="s">
        <v>315</v>
      </c>
      <c r="C24" s="815">
        <v>2008</v>
      </c>
      <c r="D24" s="816">
        <v>178.31666666666666</v>
      </c>
      <c r="E24" s="817">
        <v>178.31666666666666</v>
      </c>
      <c r="F24" s="818"/>
      <c r="G24" s="819"/>
      <c r="H24" s="819"/>
      <c r="I24" s="820"/>
    </row>
    <row r="25" spans="1:9" ht="15" customHeight="1">
      <c r="A25" s="813" t="s">
        <v>1679</v>
      </c>
      <c r="B25" s="814" t="s">
        <v>314</v>
      </c>
      <c r="C25" s="815">
        <v>2008</v>
      </c>
      <c r="D25" s="816">
        <v>89.15833333333333</v>
      </c>
      <c r="E25" s="817">
        <v>89.15833333333333</v>
      </c>
      <c r="F25" s="818"/>
      <c r="G25" s="819"/>
      <c r="H25" s="819"/>
      <c r="I25" s="820"/>
    </row>
    <row r="26" spans="1:9" ht="15" customHeight="1">
      <c r="A26" s="813" t="s">
        <v>1680</v>
      </c>
      <c r="B26" s="821" t="s">
        <v>317</v>
      </c>
      <c r="C26" s="822">
        <v>2009</v>
      </c>
      <c r="D26" s="816">
        <v>399.40833333333336</v>
      </c>
      <c r="E26" s="823">
        <v>399.40833333333336</v>
      </c>
      <c r="F26" s="818"/>
      <c r="G26" s="819"/>
      <c r="H26" s="819"/>
      <c r="I26" s="820"/>
    </row>
    <row r="27" spans="1:9" ht="15" customHeight="1">
      <c r="A27" s="813" t="s">
        <v>351</v>
      </c>
      <c r="B27" s="821" t="s">
        <v>318</v>
      </c>
      <c r="C27" s="822">
        <v>2010</v>
      </c>
      <c r="D27" s="816">
        <v>350.0083333333333</v>
      </c>
      <c r="E27" s="818">
        <v>350.0083333333333</v>
      </c>
      <c r="F27" s="818"/>
      <c r="G27" s="819"/>
      <c r="H27" s="819"/>
      <c r="I27" s="820"/>
    </row>
    <row r="28" spans="1:9" ht="15" customHeight="1">
      <c r="A28" s="813" t="s">
        <v>352</v>
      </c>
      <c r="B28" s="824" t="s">
        <v>320</v>
      </c>
      <c r="C28" s="822">
        <v>2011</v>
      </c>
      <c r="D28" s="816">
        <v>208.05833333333334</v>
      </c>
      <c r="E28" s="819">
        <v>208.05833333333334</v>
      </c>
      <c r="F28" s="819"/>
      <c r="G28" s="825"/>
      <c r="H28" s="823"/>
      <c r="I28" s="820"/>
    </row>
    <row r="29" spans="1:9" ht="15" customHeight="1">
      <c r="A29" s="813" t="s">
        <v>353</v>
      </c>
      <c r="B29" s="826" t="s">
        <v>322</v>
      </c>
      <c r="C29" s="822">
        <v>2011</v>
      </c>
      <c r="D29" s="816">
        <v>6.391666666666667</v>
      </c>
      <c r="E29" s="819">
        <v>6.391666666666667</v>
      </c>
      <c r="F29" s="819"/>
      <c r="G29" s="827"/>
      <c r="H29" s="828"/>
      <c r="I29" s="820"/>
    </row>
    <row r="30" spans="1:9" ht="15" customHeight="1">
      <c r="A30" s="813" t="s">
        <v>354</v>
      </c>
      <c r="B30" s="826" t="s">
        <v>475</v>
      </c>
      <c r="C30" s="822">
        <v>2012</v>
      </c>
      <c r="D30" s="816">
        <v>301.6666666666667</v>
      </c>
      <c r="E30" s="829">
        <v>301.6666666666667</v>
      </c>
      <c r="F30" s="829"/>
      <c r="G30" s="829"/>
      <c r="H30" s="829"/>
      <c r="I30" s="820"/>
    </row>
    <row r="31" spans="1:9" ht="15" customHeight="1">
      <c r="A31" s="813" t="s">
        <v>355</v>
      </c>
      <c r="B31" s="814" t="s">
        <v>326</v>
      </c>
      <c r="C31" s="822">
        <v>2012</v>
      </c>
      <c r="D31" s="816">
        <v>50</v>
      </c>
      <c r="E31" s="829">
        <v>50</v>
      </c>
      <c r="F31" s="829"/>
      <c r="G31" s="829"/>
      <c r="H31" s="829"/>
      <c r="I31" s="820"/>
    </row>
    <row r="32" spans="1:9" ht="15" customHeight="1">
      <c r="A32" s="813" t="s">
        <v>476</v>
      </c>
      <c r="B32" s="826" t="s">
        <v>328</v>
      </c>
      <c r="C32" s="822">
        <v>2012</v>
      </c>
      <c r="D32" s="816">
        <v>451.6666666666667</v>
      </c>
      <c r="E32" s="829">
        <v>451.6666666666667</v>
      </c>
      <c r="F32" s="829"/>
      <c r="G32" s="829"/>
      <c r="H32" s="829"/>
      <c r="I32" s="820"/>
    </row>
    <row r="33" spans="1:9" ht="15" customHeight="1">
      <c r="A33" s="813" t="s">
        <v>356</v>
      </c>
      <c r="B33" s="826" t="s">
        <v>330</v>
      </c>
      <c r="C33" s="822">
        <v>2012</v>
      </c>
      <c r="D33" s="816">
        <v>251.66666666666669</v>
      </c>
      <c r="E33" s="819">
        <v>251.66666666666669</v>
      </c>
      <c r="F33" s="819"/>
      <c r="G33" s="819"/>
      <c r="H33" s="819"/>
      <c r="I33" s="820"/>
    </row>
    <row r="34" spans="1:9" ht="15" customHeight="1">
      <c r="A34" s="813" t="s">
        <v>357</v>
      </c>
      <c r="B34" s="826" t="s">
        <v>801</v>
      </c>
      <c r="C34" s="822">
        <v>2013</v>
      </c>
      <c r="D34" s="830">
        <v>373.18333333333334</v>
      </c>
      <c r="E34" s="819">
        <v>373.18333333333334</v>
      </c>
      <c r="F34" s="819"/>
      <c r="G34" s="819"/>
      <c r="H34" s="828"/>
      <c r="I34" s="820"/>
    </row>
    <row r="35" spans="1:9" ht="15" customHeight="1">
      <c r="A35" s="813" t="s">
        <v>358</v>
      </c>
      <c r="B35" s="826" t="s">
        <v>802</v>
      </c>
      <c r="C35" s="822">
        <v>2014</v>
      </c>
      <c r="D35" s="819">
        <v>393.75</v>
      </c>
      <c r="E35" s="829"/>
      <c r="F35" s="819">
        <v>393.75</v>
      </c>
      <c r="G35" s="819"/>
      <c r="H35" s="828"/>
      <c r="I35" s="820"/>
    </row>
    <row r="36" spans="1:9" ht="15" customHeight="1">
      <c r="A36" s="813" t="s">
        <v>359</v>
      </c>
      <c r="B36" s="826" t="s">
        <v>477</v>
      </c>
      <c r="C36" s="822">
        <v>2014</v>
      </c>
      <c r="D36" s="819">
        <v>131.25</v>
      </c>
      <c r="E36" s="829"/>
      <c r="F36" s="819">
        <v>131.25</v>
      </c>
      <c r="G36" s="819"/>
      <c r="H36" s="828"/>
      <c r="I36" s="820"/>
    </row>
    <row r="37" spans="1:9" ht="15" customHeight="1">
      <c r="A37" s="813" t="s">
        <v>360</v>
      </c>
      <c r="B37" s="826" t="s">
        <v>343</v>
      </c>
      <c r="C37" s="822">
        <v>2015</v>
      </c>
      <c r="D37" s="831">
        <v>792.7</v>
      </c>
      <c r="E37" s="829"/>
      <c r="F37" s="819"/>
      <c r="G37" s="832"/>
      <c r="H37" s="833">
        <v>792.7</v>
      </c>
      <c r="I37" s="816"/>
    </row>
    <row r="38" spans="1:9" ht="15" customHeight="1">
      <c r="A38" s="813" t="s">
        <v>361</v>
      </c>
      <c r="B38" s="834" t="s">
        <v>340</v>
      </c>
      <c r="C38" s="835">
        <v>2016</v>
      </c>
      <c r="D38" s="816">
        <v>853.125</v>
      </c>
      <c r="E38" s="829"/>
      <c r="F38" s="819"/>
      <c r="G38" s="819"/>
      <c r="H38" s="816">
        <v>853.125</v>
      </c>
      <c r="I38" s="816"/>
    </row>
    <row r="39" spans="1:9" ht="15" customHeight="1">
      <c r="A39" s="813" t="s">
        <v>362</v>
      </c>
      <c r="B39" s="836" t="s">
        <v>474</v>
      </c>
      <c r="C39" s="835">
        <v>2017</v>
      </c>
      <c r="D39" s="831">
        <v>951.16</v>
      </c>
      <c r="E39" s="829"/>
      <c r="F39" s="819"/>
      <c r="G39" s="819"/>
      <c r="H39" s="831">
        <v>951.159</v>
      </c>
      <c r="I39" s="816"/>
    </row>
    <row r="40" spans="1:9" ht="15" customHeight="1">
      <c r="A40" s="813" t="s">
        <v>363</v>
      </c>
      <c r="B40" s="834" t="s">
        <v>337</v>
      </c>
      <c r="C40" s="835">
        <v>2018</v>
      </c>
      <c r="D40" s="816">
        <v>529.375</v>
      </c>
      <c r="E40" s="829"/>
      <c r="F40" s="819"/>
      <c r="G40" s="819"/>
      <c r="H40" s="816">
        <v>529.375</v>
      </c>
      <c r="I40" s="816"/>
    </row>
    <row r="41" spans="1:9" ht="15" customHeight="1">
      <c r="A41" s="813" t="s">
        <v>364</v>
      </c>
      <c r="B41" s="836" t="s">
        <v>339</v>
      </c>
      <c r="C41" s="835">
        <v>2019</v>
      </c>
      <c r="D41" s="816">
        <v>398.125</v>
      </c>
      <c r="E41" s="829"/>
      <c r="F41" s="819"/>
      <c r="G41" s="819"/>
      <c r="H41" s="816">
        <v>398.125</v>
      </c>
      <c r="I41" s="816"/>
    </row>
    <row r="42" spans="1:9" ht="15" customHeight="1">
      <c r="A42" s="813" t="s">
        <v>365</v>
      </c>
      <c r="B42" s="836" t="s">
        <v>342</v>
      </c>
      <c r="C42" s="835">
        <v>2019</v>
      </c>
      <c r="D42" s="816">
        <v>469.75</v>
      </c>
      <c r="E42" s="829"/>
      <c r="F42" s="819"/>
      <c r="G42" s="819"/>
      <c r="H42" s="816">
        <v>469.75</v>
      </c>
      <c r="I42" s="816"/>
    </row>
    <row r="43" spans="1:9" ht="15" customHeight="1">
      <c r="A43" s="813" t="s">
        <v>366</v>
      </c>
      <c r="B43" s="836" t="s">
        <v>344</v>
      </c>
      <c r="C43" s="835">
        <v>2019</v>
      </c>
      <c r="D43" s="816">
        <v>141.625</v>
      </c>
      <c r="E43" s="829"/>
      <c r="F43" s="819"/>
      <c r="G43" s="819"/>
      <c r="H43" s="816">
        <v>141.625</v>
      </c>
      <c r="I43" s="816"/>
    </row>
    <row r="44" spans="1:9" ht="15" customHeight="1">
      <c r="A44" s="813" t="s">
        <v>367</v>
      </c>
      <c r="B44" s="836" t="s">
        <v>346</v>
      </c>
      <c r="C44" s="835">
        <v>2019</v>
      </c>
      <c r="D44" s="816">
        <v>207.25</v>
      </c>
      <c r="E44" s="829"/>
      <c r="F44" s="819"/>
      <c r="G44" s="819"/>
      <c r="H44" s="816">
        <v>207.25</v>
      </c>
      <c r="I44" s="816"/>
    </row>
    <row r="45" spans="1:9" ht="15" customHeight="1">
      <c r="A45" s="813" t="s">
        <v>368</v>
      </c>
      <c r="B45" s="836" t="s">
        <v>348</v>
      </c>
      <c r="C45" s="835">
        <v>2019</v>
      </c>
      <c r="D45" s="816">
        <v>141.625</v>
      </c>
      <c r="E45" s="829"/>
      <c r="F45" s="819"/>
      <c r="G45" s="819"/>
      <c r="H45" s="816">
        <v>141.625</v>
      </c>
      <c r="I45" s="816"/>
    </row>
    <row r="46" spans="1:9" ht="15">
      <c r="A46" s="813" t="s">
        <v>369</v>
      </c>
      <c r="B46" s="836" t="s">
        <v>350</v>
      </c>
      <c r="C46" s="835">
        <v>2019</v>
      </c>
      <c r="D46" s="816">
        <v>101.25</v>
      </c>
      <c r="E46" s="829"/>
      <c r="F46" s="819"/>
      <c r="G46" s="819"/>
      <c r="H46" s="816">
        <v>101.25</v>
      </c>
      <c r="I46" s="816"/>
    </row>
    <row r="47" spans="1:9" ht="15">
      <c r="A47" s="801">
        <v>3</v>
      </c>
      <c r="B47" s="1650" t="s">
        <v>2376</v>
      </c>
      <c r="C47" s="1650"/>
      <c r="D47" s="1650"/>
      <c r="E47" s="1650"/>
      <c r="F47" s="1650"/>
      <c r="G47" s="1650"/>
      <c r="H47" s="1650"/>
      <c r="I47" s="802"/>
    </row>
    <row r="48" spans="1:9" ht="30" customHeight="1">
      <c r="A48" s="801" t="s">
        <v>1881</v>
      </c>
      <c r="B48" s="803" t="s">
        <v>816</v>
      </c>
      <c r="C48" s="800">
        <v>2003</v>
      </c>
      <c r="D48" s="805">
        <v>811.6666666666667</v>
      </c>
      <c r="E48" s="805">
        <v>1051.7</v>
      </c>
      <c r="F48" s="805"/>
      <c r="G48" s="810"/>
      <c r="H48" s="805"/>
      <c r="I48" s="802"/>
    </row>
    <row r="49" spans="1:9" ht="30">
      <c r="A49" s="801" t="s">
        <v>1883</v>
      </c>
      <c r="B49" s="803" t="s">
        <v>817</v>
      </c>
      <c r="C49" s="800">
        <v>2004</v>
      </c>
      <c r="D49" s="805">
        <v>1217.5</v>
      </c>
      <c r="E49" s="805">
        <v>1318.4666666666667</v>
      </c>
      <c r="F49" s="805"/>
      <c r="G49" s="810"/>
      <c r="H49" s="805"/>
      <c r="I49" s="802"/>
    </row>
    <row r="50" spans="1:9" ht="15.75" customHeight="1">
      <c r="A50" s="801" t="s">
        <v>1673</v>
      </c>
      <c r="B50" s="803" t="s">
        <v>818</v>
      </c>
      <c r="C50" s="800">
        <v>2007</v>
      </c>
      <c r="D50" s="805">
        <v>202.91666666666669</v>
      </c>
      <c r="E50" s="805">
        <v>134.9</v>
      </c>
      <c r="F50" s="805"/>
      <c r="G50" s="810"/>
      <c r="H50" s="805"/>
      <c r="I50" s="802"/>
    </row>
    <row r="51" spans="1:9" ht="15">
      <c r="A51" s="801" t="s">
        <v>1674</v>
      </c>
      <c r="B51" s="803" t="s">
        <v>819</v>
      </c>
      <c r="C51" s="328">
        <v>2010</v>
      </c>
      <c r="D51" s="810">
        <v>405.83333333333337</v>
      </c>
      <c r="E51" s="810">
        <v>380.83333333333337</v>
      </c>
      <c r="F51" s="810"/>
      <c r="G51" s="810"/>
      <c r="H51" s="810"/>
      <c r="I51" s="802"/>
    </row>
    <row r="52" spans="1:9" ht="15">
      <c r="A52" s="801" t="s">
        <v>1721</v>
      </c>
      <c r="B52" s="803" t="s">
        <v>820</v>
      </c>
      <c r="C52" s="328">
        <v>2011</v>
      </c>
      <c r="D52" s="810">
        <v>194.16666666666669</v>
      </c>
      <c r="E52" s="810">
        <v>194.16666666666669</v>
      </c>
      <c r="F52" s="810"/>
      <c r="G52" s="810"/>
      <c r="H52" s="810"/>
      <c r="I52" s="802"/>
    </row>
    <row r="53" spans="1:9" ht="15">
      <c r="A53" s="801" t="s">
        <v>1722</v>
      </c>
      <c r="B53" s="803" t="s">
        <v>821</v>
      </c>
      <c r="C53" s="328">
        <v>2013</v>
      </c>
      <c r="D53" s="810">
        <v>208.04166666666669</v>
      </c>
      <c r="E53" s="810">
        <v>208.04166666666669</v>
      </c>
      <c r="F53" s="810"/>
      <c r="G53" s="810"/>
      <c r="H53" s="810"/>
      <c r="I53" s="802"/>
    </row>
    <row r="54" spans="1:9" ht="15">
      <c r="A54" s="801" t="s">
        <v>1723</v>
      </c>
      <c r="B54" s="811" t="s">
        <v>2225</v>
      </c>
      <c r="C54" s="328">
        <v>2015</v>
      </c>
      <c r="D54" s="810">
        <v>440</v>
      </c>
      <c r="E54" s="810"/>
      <c r="F54" s="810"/>
      <c r="G54" s="810">
        <v>350</v>
      </c>
      <c r="H54" s="810"/>
      <c r="I54" s="802"/>
    </row>
    <row r="55" spans="1:9" ht="45">
      <c r="A55" s="837" t="s">
        <v>1724</v>
      </c>
      <c r="B55" s="330" t="s">
        <v>2226</v>
      </c>
      <c r="C55" s="328">
        <v>2016</v>
      </c>
      <c r="D55" s="810">
        <v>1760</v>
      </c>
      <c r="E55" s="810"/>
      <c r="F55" s="810"/>
      <c r="G55" s="810"/>
      <c r="H55" s="810">
        <f>4*440</f>
        <v>1760</v>
      </c>
      <c r="I55" s="802"/>
    </row>
    <row r="56" spans="1:9" ht="15">
      <c r="A56" s="801" t="s">
        <v>822</v>
      </c>
      <c r="B56" s="811" t="s">
        <v>2227</v>
      </c>
      <c r="C56" s="328">
        <v>2017</v>
      </c>
      <c r="D56" s="810">
        <v>440</v>
      </c>
      <c r="E56" s="810"/>
      <c r="F56" s="810"/>
      <c r="G56" s="810"/>
      <c r="H56" s="810">
        <v>440</v>
      </c>
      <c r="I56" s="802"/>
    </row>
    <row r="57" spans="1:9" ht="15">
      <c r="A57" s="801" t="s">
        <v>2224</v>
      </c>
      <c r="B57" s="811" t="s">
        <v>2228</v>
      </c>
      <c r="C57" s="328">
        <v>2018</v>
      </c>
      <c r="D57" s="810">
        <v>440</v>
      </c>
      <c r="E57" s="810"/>
      <c r="F57" s="810"/>
      <c r="G57" s="810"/>
      <c r="H57" s="810">
        <v>440</v>
      </c>
      <c r="I57" s="802"/>
    </row>
    <row r="58" spans="1:9" ht="14.25">
      <c r="A58" s="838" t="s">
        <v>1903</v>
      </c>
      <c r="B58" s="1651" t="s">
        <v>144</v>
      </c>
      <c r="C58" s="1652"/>
      <c r="D58" s="1652"/>
      <c r="E58" s="1652"/>
      <c r="F58" s="1652"/>
      <c r="G58" s="1652"/>
      <c r="H58" s="1653"/>
      <c r="I58" s="802"/>
    </row>
    <row r="59" spans="1:9" ht="15">
      <c r="A59" s="839"/>
      <c r="B59" s="840"/>
      <c r="C59" s="841"/>
      <c r="D59" s="842"/>
      <c r="E59" s="842"/>
      <c r="F59" s="842"/>
      <c r="G59" s="843"/>
      <c r="H59" s="842"/>
      <c r="I59" s="802"/>
    </row>
    <row r="60" spans="1:9" ht="15">
      <c r="A60" s="1654" t="s">
        <v>1681</v>
      </c>
      <c r="B60" s="1654"/>
      <c r="C60" s="636"/>
      <c r="D60" s="828">
        <f>SUM(D5:D57)</f>
        <v>41378.935000000005</v>
      </c>
      <c r="E60" s="828">
        <f>SUM(E5:E57)</f>
        <v>20325.490000000005</v>
      </c>
      <c r="F60" s="828">
        <f>SUM(F5:F57)</f>
        <v>525</v>
      </c>
      <c r="G60" s="844">
        <f>SUM(G5:G57)</f>
        <v>350</v>
      </c>
      <c r="H60" s="828">
        <f>SUM(H5:H57)</f>
        <v>20384.187333333328</v>
      </c>
      <c r="I60" s="802"/>
    </row>
    <row r="61" spans="1:9" ht="12.75">
      <c r="A61" s="784"/>
      <c r="B61" s="338"/>
      <c r="C61" s="338"/>
      <c r="D61" s="338"/>
      <c r="E61" s="338"/>
      <c r="F61" s="338"/>
      <c r="G61" s="785"/>
      <c r="H61" s="338"/>
      <c r="I61" s="338"/>
    </row>
    <row r="62" spans="1:9" ht="15">
      <c r="A62" s="784"/>
      <c r="B62" s="335" t="s">
        <v>2243</v>
      </c>
      <c r="C62" s="335"/>
      <c r="D62" s="334"/>
      <c r="E62" s="336" t="s">
        <v>1991</v>
      </c>
      <c r="F62" s="334"/>
      <c r="G62" s="793" t="s">
        <v>2242</v>
      </c>
      <c r="H62" s="334"/>
      <c r="I62" s="845"/>
    </row>
    <row r="63" spans="1:9" ht="15">
      <c r="A63" s="784"/>
      <c r="B63" s="339"/>
      <c r="C63" s="339"/>
      <c r="D63" s="334"/>
      <c r="E63" s="336" t="s">
        <v>1992</v>
      </c>
      <c r="F63" s="334"/>
      <c r="G63" s="794" t="s">
        <v>1675</v>
      </c>
      <c r="H63" s="334"/>
      <c r="I63" s="846"/>
    </row>
    <row r="64" spans="1:9" ht="15" outlineLevel="1">
      <c r="A64" s="784"/>
      <c r="B64" s="339"/>
      <c r="C64" s="339"/>
      <c r="D64" s="334"/>
      <c r="E64" s="336"/>
      <c r="F64" s="334"/>
      <c r="G64" s="794"/>
      <c r="H64" s="334"/>
      <c r="I64" s="846"/>
    </row>
    <row r="65" spans="1:9" ht="15" outlineLevel="1">
      <c r="A65" s="784"/>
      <c r="B65" s="335" t="s">
        <v>436</v>
      </c>
      <c r="C65" s="335"/>
      <c r="D65" s="334"/>
      <c r="E65" s="336" t="s">
        <v>1991</v>
      </c>
      <c r="F65" s="334"/>
      <c r="G65" s="793" t="s">
        <v>435</v>
      </c>
      <c r="H65" s="334"/>
      <c r="I65" s="846"/>
    </row>
    <row r="66" spans="1:9" ht="15" outlineLevel="1">
      <c r="A66" s="784"/>
      <c r="B66" s="339"/>
      <c r="C66" s="339"/>
      <c r="D66" s="334"/>
      <c r="E66" s="336" t="s">
        <v>1992</v>
      </c>
      <c r="F66" s="334"/>
      <c r="G66" s="794" t="s">
        <v>1675</v>
      </c>
      <c r="H66" s="334"/>
      <c r="I66" s="846"/>
    </row>
    <row r="67" spans="1:9" ht="15">
      <c r="A67" s="784"/>
      <c r="B67" s="1428" t="s">
        <v>1993</v>
      </c>
      <c r="C67" s="1428"/>
      <c r="D67" s="1428"/>
      <c r="E67" s="1428"/>
      <c r="F67" s="334"/>
      <c r="G67" s="792"/>
      <c r="H67" s="334"/>
      <c r="I67" s="847"/>
    </row>
    <row r="68" spans="1:9" ht="15">
      <c r="A68" s="784"/>
      <c r="B68" s="343" t="s">
        <v>1676</v>
      </c>
      <c r="C68" s="363"/>
      <c r="D68" s="334" t="s">
        <v>1793</v>
      </c>
      <c r="E68" s="334"/>
      <c r="F68" s="334"/>
      <c r="G68" s="792"/>
      <c r="H68" s="334"/>
      <c r="I68" s="847"/>
    </row>
    <row r="69" spans="1:9" ht="14.25">
      <c r="A69" s="62"/>
      <c r="B69" s="65"/>
      <c r="C69" s="65"/>
      <c r="D69" s="65"/>
      <c r="E69" s="65"/>
      <c r="F69" s="65"/>
      <c r="G69" s="128"/>
      <c r="H69" s="65"/>
      <c r="I69" s="50"/>
    </row>
    <row r="70" spans="1:9" ht="15" hidden="1">
      <c r="A70" s="62"/>
      <c r="B70" s="63" t="s">
        <v>2078</v>
      </c>
      <c r="C70" s="65"/>
      <c r="D70" s="65"/>
      <c r="E70" s="72" t="s">
        <v>1991</v>
      </c>
      <c r="F70" s="65"/>
      <c r="G70" s="145" t="s">
        <v>2079</v>
      </c>
      <c r="H70" s="65"/>
      <c r="I70" s="50"/>
    </row>
    <row r="71" spans="1:9" ht="14.25" hidden="1">
      <c r="A71" s="62"/>
      <c r="B71" s="65"/>
      <c r="C71" s="65"/>
      <c r="D71" s="65"/>
      <c r="E71" s="72" t="s">
        <v>1992</v>
      </c>
      <c r="F71" s="65"/>
      <c r="G71" s="144" t="s">
        <v>1675</v>
      </c>
      <c r="H71" s="65"/>
      <c r="I71" s="50"/>
    </row>
    <row r="72" spans="1:9" ht="14.25" hidden="1">
      <c r="A72" s="62"/>
      <c r="B72" s="65"/>
      <c r="C72" s="65"/>
      <c r="D72" s="65"/>
      <c r="E72" s="65"/>
      <c r="F72" s="65"/>
      <c r="G72" s="128"/>
      <c r="H72" s="65"/>
      <c r="I72" s="50"/>
    </row>
    <row r="73" spans="1:9" ht="14.25" hidden="1">
      <c r="A73" s="62"/>
      <c r="B73" s="1425" t="s">
        <v>1993</v>
      </c>
      <c r="C73" s="1425"/>
      <c r="D73" s="1425"/>
      <c r="E73" s="1425"/>
      <c r="F73" s="65"/>
      <c r="G73" s="128"/>
      <c r="H73" s="65"/>
      <c r="I73" s="50"/>
    </row>
    <row r="74" spans="1:9" ht="14.25" hidden="1">
      <c r="A74" s="62"/>
      <c r="B74" s="65"/>
      <c r="C74" s="65"/>
      <c r="D74" s="65"/>
      <c r="E74" s="65"/>
      <c r="F74" s="65"/>
      <c r="G74" s="128"/>
      <c r="H74" s="65"/>
      <c r="I74" s="50"/>
    </row>
    <row r="75" spans="1:9" ht="14.25">
      <c r="A75" s="62"/>
      <c r="B75" s="65"/>
      <c r="C75" s="65"/>
      <c r="D75" s="65"/>
      <c r="E75" s="65"/>
      <c r="F75" s="65"/>
      <c r="G75" s="128"/>
      <c r="H75" s="65"/>
      <c r="I75" s="50"/>
    </row>
    <row r="76" spans="1:9" ht="12.75">
      <c r="A76" s="62"/>
      <c r="B76" s="50"/>
      <c r="C76" s="50"/>
      <c r="D76" s="50"/>
      <c r="E76" s="50"/>
      <c r="F76" s="50"/>
      <c r="G76" s="126"/>
      <c r="H76" s="50"/>
      <c r="I76" s="50"/>
    </row>
    <row r="77" spans="1:9" ht="12.75">
      <c r="A77" s="62"/>
      <c r="B77" s="50"/>
      <c r="C77" s="50"/>
      <c r="D77" s="50"/>
      <c r="E77" s="50"/>
      <c r="F77" s="50"/>
      <c r="G77" s="126"/>
      <c r="H77" s="50"/>
      <c r="I77" s="50"/>
    </row>
  </sheetData>
  <sheetProtection/>
  <mergeCells count="8">
    <mergeCell ref="B67:E67"/>
    <mergeCell ref="B73:E73"/>
    <mergeCell ref="A1:I1"/>
    <mergeCell ref="B4:H4"/>
    <mergeCell ref="B17:H17"/>
    <mergeCell ref="B47:H47"/>
    <mergeCell ref="B58:H58"/>
    <mergeCell ref="A60:B60"/>
  </mergeCells>
  <printOptions/>
  <pageMargins left="0.9448818897637796" right="0.31496062992125984" top="0.7874015748031497" bottom="0.2362204724409449" header="0.35433070866141736" footer="0.1968503937007874"/>
  <pageSetup fitToHeight="2" horizontalDpi="600" verticalDpi="600" orientation="landscape" paperSize="9" scale="67" r:id="rId1"/>
  <rowBreaks count="2" manualBreakCount="2">
    <brk id="21" max="255" man="1"/>
    <brk id="68" max="255" man="1"/>
  </rowBreaks>
</worksheet>
</file>

<file path=xl/worksheets/sheet3.xml><?xml version="1.0" encoding="utf-8"?>
<worksheet xmlns="http://schemas.openxmlformats.org/spreadsheetml/2006/main" xmlns:r="http://schemas.openxmlformats.org/officeDocument/2006/relationships">
  <sheetPr>
    <tabColor indexed="40"/>
  </sheetPr>
  <dimension ref="A1:L34"/>
  <sheetViews>
    <sheetView view="pageBreakPreview" zoomScaleSheetLayoutView="100" workbookViewId="0" topLeftCell="A1">
      <selection activeCell="F7" sqref="F7"/>
    </sheetView>
  </sheetViews>
  <sheetFormatPr defaultColWidth="9.00390625" defaultRowHeight="12.75" outlineLevelRow="1"/>
  <cols>
    <col min="1" max="1" width="6.875" style="29" customWidth="1"/>
    <col min="2" max="2" width="32.125" style="29" customWidth="1"/>
    <col min="3" max="12" width="11.625" style="29" customWidth="1"/>
    <col min="13" max="16384" width="9.125" style="29" customWidth="1"/>
  </cols>
  <sheetData>
    <row r="1" spans="1:12" ht="25.5" customHeight="1">
      <c r="A1" s="1429" t="s">
        <v>1871</v>
      </c>
      <c r="B1" s="1429"/>
      <c r="C1" s="1429"/>
      <c r="D1" s="1429"/>
      <c r="E1" s="1429"/>
      <c r="F1" s="1429"/>
      <c r="G1" s="1429"/>
      <c r="H1" s="1429"/>
      <c r="I1" s="1429"/>
      <c r="J1" s="1429"/>
      <c r="K1" s="1429"/>
      <c r="L1" s="1429"/>
    </row>
    <row r="2" spans="1:12" ht="23.25" customHeight="1">
      <c r="A2" s="1427" t="s">
        <v>1861</v>
      </c>
      <c r="B2" s="1427" t="s">
        <v>1765</v>
      </c>
      <c r="C2" s="1427" t="s">
        <v>2119</v>
      </c>
      <c r="D2" s="1427"/>
      <c r="E2" s="1427"/>
      <c r="F2" s="1427"/>
      <c r="G2" s="1427"/>
      <c r="H2" s="1427"/>
      <c r="I2" s="1427" t="s">
        <v>2122</v>
      </c>
      <c r="J2" s="1427"/>
      <c r="K2" s="1427" t="s">
        <v>1681</v>
      </c>
      <c r="L2" s="1427"/>
    </row>
    <row r="3" spans="1:12" ht="21" customHeight="1">
      <c r="A3" s="1427"/>
      <c r="B3" s="1427"/>
      <c r="C3" s="1427" t="s">
        <v>1763</v>
      </c>
      <c r="D3" s="1427"/>
      <c r="E3" s="1427" t="s">
        <v>1764</v>
      </c>
      <c r="F3" s="1427"/>
      <c r="G3" s="1427" t="s">
        <v>1693</v>
      </c>
      <c r="H3" s="1427"/>
      <c r="I3" s="1427"/>
      <c r="J3" s="1427"/>
      <c r="K3" s="1427"/>
      <c r="L3" s="1427"/>
    </row>
    <row r="4" spans="1:12" ht="33" customHeight="1">
      <c r="A4" s="1427"/>
      <c r="B4" s="1427"/>
      <c r="C4" s="347" t="s">
        <v>2120</v>
      </c>
      <c r="D4" s="347" t="s">
        <v>2121</v>
      </c>
      <c r="E4" s="347" t="s">
        <v>2120</v>
      </c>
      <c r="F4" s="347" t="s">
        <v>2121</v>
      </c>
      <c r="G4" s="347" t="s">
        <v>2120</v>
      </c>
      <c r="H4" s="347" t="s">
        <v>2121</v>
      </c>
      <c r="I4" s="347" t="s">
        <v>2120</v>
      </c>
      <c r="J4" s="347" t="s">
        <v>2121</v>
      </c>
      <c r="K4" s="347" t="s">
        <v>2120</v>
      </c>
      <c r="L4" s="347" t="s">
        <v>2121</v>
      </c>
    </row>
    <row r="5" spans="1:12" ht="15">
      <c r="A5" s="348">
        <v>1</v>
      </c>
      <c r="B5" s="349" t="s">
        <v>1862</v>
      </c>
      <c r="C5" s="350">
        <f>C6+C12+C13+C14+C16</f>
        <v>15462</v>
      </c>
      <c r="D5" s="350">
        <f>D6+D12+D13+D14+D16</f>
        <v>15746</v>
      </c>
      <c r="E5" s="350">
        <f>E6+E12+E13+E14+E16</f>
        <v>42650</v>
      </c>
      <c r="F5" s="350">
        <f>F6+F12+F13+F14</f>
        <v>58773</v>
      </c>
      <c r="G5" s="350">
        <f aca="true" t="shared" si="0" ref="G5:H7">C5+E5</f>
        <v>58112</v>
      </c>
      <c r="H5" s="350">
        <f>D5+F5</f>
        <v>74519</v>
      </c>
      <c r="I5" s="350">
        <f>I6+I12+I13+I14+I16</f>
        <v>1364</v>
      </c>
      <c r="J5" s="350">
        <f>J6+J12+J13+J14+J16</f>
        <v>1364</v>
      </c>
      <c r="K5" s="350">
        <f>G5+I5</f>
        <v>59476</v>
      </c>
      <c r="L5" s="350">
        <f>H5+J5</f>
        <v>75883</v>
      </c>
    </row>
    <row r="6" spans="1:12" ht="15">
      <c r="A6" s="351" t="s">
        <v>1874</v>
      </c>
      <c r="B6" s="349" t="s">
        <v>1863</v>
      </c>
      <c r="C6" s="350">
        <f>C7+C8+C9+C10+C11+C16</f>
        <v>15462</v>
      </c>
      <c r="D6" s="350">
        <f>D7+D8+D9+D10+D11+D16</f>
        <v>15746</v>
      </c>
      <c r="E6" s="350">
        <f>E7+E8+E9+E10+E11+E16</f>
        <v>42650</v>
      </c>
      <c r="F6" s="350">
        <f>F7+F8+F9+F10+F11+F16</f>
        <v>58773</v>
      </c>
      <c r="G6" s="350">
        <f aca="true" t="shared" si="1" ref="G6:L6">G7+G8+G9+G10+G11+G16</f>
        <v>58112</v>
      </c>
      <c r="H6" s="350">
        <f t="shared" si="1"/>
        <v>74519</v>
      </c>
      <c r="I6" s="350">
        <f t="shared" si="1"/>
        <v>1364</v>
      </c>
      <c r="J6" s="350">
        <f t="shared" si="1"/>
        <v>1364</v>
      </c>
      <c r="K6" s="350">
        <f t="shared" si="1"/>
        <v>59476</v>
      </c>
      <c r="L6" s="350">
        <f t="shared" si="1"/>
        <v>75883</v>
      </c>
    </row>
    <row r="7" spans="1:12" ht="15">
      <c r="A7" s="351" t="s">
        <v>1877</v>
      </c>
      <c r="B7" s="349" t="s">
        <v>1864</v>
      </c>
      <c r="C7" s="352">
        <v>6225</v>
      </c>
      <c r="D7" s="352">
        <v>5771</v>
      </c>
      <c r="E7" s="352">
        <v>19457</v>
      </c>
      <c r="F7" s="352">
        <v>17937</v>
      </c>
      <c r="G7" s="350">
        <f t="shared" si="0"/>
        <v>25682</v>
      </c>
      <c r="H7" s="350">
        <f t="shared" si="0"/>
        <v>23708</v>
      </c>
      <c r="I7" s="352">
        <v>1364</v>
      </c>
      <c r="J7" s="352">
        <v>1364</v>
      </c>
      <c r="K7" s="350">
        <f aca="true" t="shared" si="2" ref="K7:L14">G7+I7</f>
        <v>27046</v>
      </c>
      <c r="L7" s="350">
        <f>H7+J7</f>
        <v>25072</v>
      </c>
    </row>
    <row r="8" spans="1:12" ht="30">
      <c r="A8" s="351" t="s">
        <v>1980</v>
      </c>
      <c r="B8" s="349" t="s">
        <v>1981</v>
      </c>
      <c r="C8" s="352">
        <v>0</v>
      </c>
      <c r="D8" s="352">
        <v>0</v>
      </c>
      <c r="E8" s="352">
        <v>0</v>
      </c>
      <c r="F8" s="352">
        <v>0</v>
      </c>
      <c r="G8" s="350">
        <f aca="true" t="shared" si="3" ref="G8:G14">C8+E8</f>
        <v>0</v>
      </c>
      <c r="H8" s="350">
        <f aca="true" t="shared" si="4" ref="H8:H14">D8+F8</f>
        <v>0</v>
      </c>
      <c r="I8" s="353"/>
      <c r="J8" s="353"/>
      <c r="K8" s="350">
        <f t="shared" si="2"/>
        <v>0</v>
      </c>
      <c r="L8" s="350">
        <f t="shared" si="2"/>
        <v>0</v>
      </c>
    </row>
    <row r="9" spans="1:12" ht="15">
      <c r="A9" s="351" t="s">
        <v>1982</v>
      </c>
      <c r="B9" s="349" t="s">
        <v>1983</v>
      </c>
      <c r="C9" s="352"/>
      <c r="D9" s="352"/>
      <c r="E9" s="352"/>
      <c r="F9" s="352"/>
      <c r="G9" s="350">
        <f t="shared" si="3"/>
        <v>0</v>
      </c>
      <c r="H9" s="350">
        <f t="shared" si="4"/>
        <v>0</v>
      </c>
      <c r="I9" s="353"/>
      <c r="J9" s="353"/>
      <c r="K9" s="350">
        <f t="shared" si="2"/>
        <v>0</v>
      </c>
      <c r="L9" s="350">
        <f t="shared" si="2"/>
        <v>0</v>
      </c>
    </row>
    <row r="10" spans="1:12" ht="15.75" customHeight="1">
      <c r="A10" s="351" t="s">
        <v>1865</v>
      </c>
      <c r="B10" s="349" t="s">
        <v>823</v>
      </c>
      <c r="C10" s="352">
        <v>4395</v>
      </c>
      <c r="D10" s="352">
        <v>5133</v>
      </c>
      <c r="E10" s="352">
        <v>12701</v>
      </c>
      <c r="F10" s="352">
        <v>13599</v>
      </c>
      <c r="G10" s="350">
        <f t="shared" si="3"/>
        <v>17096</v>
      </c>
      <c r="H10" s="350">
        <f t="shared" si="4"/>
        <v>18732</v>
      </c>
      <c r="I10" s="353"/>
      <c r="J10" s="353"/>
      <c r="K10" s="350">
        <f t="shared" si="2"/>
        <v>17096</v>
      </c>
      <c r="L10" s="350">
        <f t="shared" si="2"/>
        <v>18732</v>
      </c>
    </row>
    <row r="11" spans="1:12" ht="15.75" customHeight="1">
      <c r="A11" s="351" t="s">
        <v>824</v>
      </c>
      <c r="B11" s="349" t="s">
        <v>825</v>
      </c>
      <c r="C11" s="352">
        <v>4842</v>
      </c>
      <c r="D11" s="352">
        <v>4842</v>
      </c>
      <c r="E11" s="352">
        <v>10492</v>
      </c>
      <c r="F11" s="352">
        <v>10552</v>
      </c>
      <c r="G11" s="350">
        <f t="shared" si="3"/>
        <v>15334</v>
      </c>
      <c r="H11" s="350">
        <f t="shared" si="4"/>
        <v>15394</v>
      </c>
      <c r="I11" s="353"/>
      <c r="J11" s="353"/>
      <c r="K11" s="350">
        <f t="shared" si="2"/>
        <v>15334</v>
      </c>
      <c r="L11" s="350">
        <f t="shared" si="2"/>
        <v>15394</v>
      </c>
    </row>
    <row r="12" spans="1:12" ht="15">
      <c r="A12" s="351" t="s">
        <v>1875</v>
      </c>
      <c r="B12" s="349" t="s">
        <v>1766</v>
      </c>
      <c r="C12" s="354"/>
      <c r="D12" s="354"/>
      <c r="E12" s="354"/>
      <c r="F12" s="354"/>
      <c r="G12" s="350">
        <f t="shared" si="3"/>
        <v>0</v>
      </c>
      <c r="H12" s="350">
        <f t="shared" si="4"/>
        <v>0</v>
      </c>
      <c r="I12" s="353"/>
      <c r="J12" s="353"/>
      <c r="K12" s="350">
        <f t="shared" si="2"/>
        <v>0</v>
      </c>
      <c r="L12" s="350">
        <f t="shared" si="2"/>
        <v>0</v>
      </c>
    </row>
    <row r="13" spans="1:12" ht="15">
      <c r="A13" s="351" t="s">
        <v>1952</v>
      </c>
      <c r="B13" s="349" t="s">
        <v>1767</v>
      </c>
      <c r="C13" s="354"/>
      <c r="D13" s="354"/>
      <c r="E13" s="354"/>
      <c r="F13" s="354"/>
      <c r="G13" s="350">
        <f t="shared" si="3"/>
        <v>0</v>
      </c>
      <c r="H13" s="350">
        <f t="shared" si="4"/>
        <v>0</v>
      </c>
      <c r="I13" s="353"/>
      <c r="J13" s="353"/>
      <c r="K13" s="350">
        <f t="shared" si="2"/>
        <v>0</v>
      </c>
      <c r="L13" s="350">
        <f t="shared" si="2"/>
        <v>0</v>
      </c>
    </row>
    <row r="14" spans="1:12" ht="15">
      <c r="A14" s="351" t="s">
        <v>1953</v>
      </c>
      <c r="B14" s="349" t="s">
        <v>1768</v>
      </c>
      <c r="C14" s="354"/>
      <c r="D14" s="354"/>
      <c r="E14" s="354"/>
      <c r="F14" s="354"/>
      <c r="G14" s="350">
        <f t="shared" si="3"/>
        <v>0</v>
      </c>
      <c r="H14" s="350">
        <f t="shared" si="4"/>
        <v>0</v>
      </c>
      <c r="I14" s="355"/>
      <c r="J14" s="355"/>
      <c r="K14" s="356">
        <f t="shared" si="2"/>
        <v>0</v>
      </c>
      <c r="L14" s="356">
        <f t="shared" si="2"/>
        <v>0</v>
      </c>
    </row>
    <row r="15" spans="1:12" ht="15">
      <c r="A15" s="351" t="s">
        <v>1954</v>
      </c>
      <c r="B15" s="349" t="s">
        <v>1769</v>
      </c>
      <c r="C15" s="354"/>
      <c r="D15" s="354"/>
      <c r="E15" s="354"/>
      <c r="F15" s="354"/>
      <c r="G15" s="350">
        <f>C15+E15</f>
        <v>0</v>
      </c>
      <c r="H15" s="350">
        <f>D15+F15</f>
        <v>0</v>
      </c>
      <c r="I15" s="355"/>
      <c r="J15" s="355"/>
      <c r="K15" s="356">
        <f>G15+I15</f>
        <v>0</v>
      </c>
      <c r="L15" s="356">
        <f>H15+J15</f>
        <v>0</v>
      </c>
    </row>
    <row r="16" spans="1:12" ht="15">
      <c r="A16" s="351" t="s">
        <v>1955</v>
      </c>
      <c r="B16" s="349" t="s">
        <v>2404</v>
      </c>
      <c r="C16" s="352"/>
      <c r="D16" s="352"/>
      <c r="E16" s="352"/>
      <c r="F16" s="352">
        <v>16685</v>
      </c>
      <c r="G16" s="350">
        <f>C16+E16</f>
        <v>0</v>
      </c>
      <c r="H16" s="350">
        <f>D16+F16</f>
        <v>16685</v>
      </c>
      <c r="I16" s="355"/>
      <c r="J16" s="355"/>
      <c r="K16" s="356">
        <f>G16+I16</f>
        <v>0</v>
      </c>
      <c r="L16" s="356">
        <f>H16+J16</f>
        <v>16685</v>
      </c>
    </row>
    <row r="17" spans="1:12" ht="15">
      <c r="A17" s="357"/>
      <c r="B17" s="357"/>
      <c r="C17" s="357"/>
      <c r="D17" s="357"/>
      <c r="E17" s="357"/>
      <c r="F17" s="357"/>
      <c r="G17" s="357"/>
      <c r="H17" s="357"/>
      <c r="I17" s="357"/>
      <c r="J17" s="357"/>
      <c r="K17" s="357"/>
      <c r="L17" s="357"/>
    </row>
    <row r="18" spans="1:12" ht="15">
      <c r="A18" s="357"/>
      <c r="B18" s="357"/>
      <c r="C18" s="357"/>
      <c r="D18" s="357"/>
      <c r="E18" s="357"/>
      <c r="F18" s="357"/>
      <c r="G18" s="357"/>
      <c r="H18" s="357"/>
      <c r="I18" s="357"/>
      <c r="J18" s="357"/>
      <c r="K18" s="357"/>
      <c r="L18" s="357"/>
    </row>
    <row r="19" spans="1:12" ht="15">
      <c r="A19" s="358"/>
      <c r="B19" s="335" t="s">
        <v>2243</v>
      </c>
      <c r="C19" s="335"/>
      <c r="D19" s="334"/>
      <c r="E19" s="336" t="s">
        <v>2123</v>
      </c>
      <c r="F19" s="336"/>
      <c r="G19" s="336"/>
      <c r="H19" s="337" t="s">
        <v>2242</v>
      </c>
      <c r="I19" s="359"/>
      <c r="J19" s="360"/>
      <c r="K19" s="360"/>
      <c r="L19" s="361"/>
    </row>
    <row r="20" spans="1:12" ht="15">
      <c r="A20" s="358"/>
      <c r="B20" s="339"/>
      <c r="C20" s="339"/>
      <c r="D20" s="334"/>
      <c r="E20" s="336" t="s">
        <v>1992</v>
      </c>
      <c r="F20" s="336"/>
      <c r="G20" s="336"/>
      <c r="H20" s="336" t="s">
        <v>1675</v>
      </c>
      <c r="I20" s="359"/>
      <c r="J20" s="360"/>
      <c r="K20" s="360"/>
      <c r="L20" s="361"/>
    </row>
    <row r="21" spans="1:12" ht="15">
      <c r="A21" s="358"/>
      <c r="B21" s="339"/>
      <c r="C21" s="339"/>
      <c r="D21" s="334"/>
      <c r="E21" s="336"/>
      <c r="F21" s="336"/>
      <c r="G21" s="336"/>
      <c r="H21" s="336"/>
      <c r="I21" s="359"/>
      <c r="J21" s="360"/>
      <c r="K21" s="360"/>
      <c r="L21" s="361"/>
    </row>
    <row r="22" spans="1:12" ht="15" outlineLevel="1">
      <c r="A22" s="358"/>
      <c r="B22" s="335" t="s">
        <v>2078</v>
      </c>
      <c r="C22" s="335"/>
      <c r="D22" s="334"/>
      <c r="E22" s="336" t="s">
        <v>2123</v>
      </c>
      <c r="F22" s="336"/>
      <c r="G22" s="336"/>
      <c r="H22" s="337" t="s">
        <v>435</v>
      </c>
      <c r="I22" s="359"/>
      <c r="J22" s="360"/>
      <c r="K22" s="360"/>
      <c r="L22" s="361"/>
    </row>
    <row r="23" spans="1:12" ht="15" outlineLevel="1">
      <c r="A23" s="358"/>
      <c r="B23" s="339"/>
      <c r="C23" s="339"/>
      <c r="D23" s="334"/>
      <c r="E23" s="336" t="s">
        <v>1992</v>
      </c>
      <c r="F23" s="336"/>
      <c r="G23" s="336"/>
      <c r="H23" s="336" t="s">
        <v>1675</v>
      </c>
      <c r="I23" s="359"/>
      <c r="J23" s="360"/>
      <c r="K23" s="360"/>
      <c r="L23" s="361"/>
    </row>
    <row r="24" spans="1:12" ht="15">
      <c r="A24" s="358"/>
      <c r="B24" s="1428" t="s">
        <v>1993</v>
      </c>
      <c r="C24" s="1428"/>
      <c r="D24" s="1428"/>
      <c r="E24" s="1428"/>
      <c r="F24" s="362"/>
      <c r="G24" s="334"/>
      <c r="H24" s="334"/>
      <c r="I24" s="358"/>
      <c r="J24" s="358"/>
      <c r="K24" s="358"/>
      <c r="L24" s="358"/>
    </row>
    <row r="25" spans="1:12" ht="15">
      <c r="A25" s="358"/>
      <c r="B25" s="343" t="s">
        <v>1676</v>
      </c>
      <c r="C25" s="363"/>
      <c r="D25" s="334"/>
      <c r="E25" s="334"/>
      <c r="F25" s="334"/>
      <c r="G25" s="334"/>
      <c r="H25" s="334"/>
      <c r="I25" s="358"/>
      <c r="J25" s="358"/>
      <c r="K25" s="358"/>
      <c r="L25" s="358"/>
    </row>
    <row r="26" spans="1:12" ht="15">
      <c r="A26" s="364"/>
      <c r="B26" s="365"/>
      <c r="C26" s="363"/>
      <c r="D26" s="334"/>
      <c r="E26" s="334"/>
      <c r="F26" s="334"/>
      <c r="G26" s="334"/>
      <c r="H26" s="334"/>
      <c r="I26" s="357"/>
      <c r="J26" s="364"/>
      <c r="K26" s="364"/>
      <c r="L26" s="364"/>
    </row>
    <row r="27" spans="1:12" ht="15">
      <c r="A27" s="365"/>
      <c r="B27" s="334"/>
      <c r="C27" s="334"/>
      <c r="D27" s="334"/>
      <c r="E27" s="334"/>
      <c r="F27" s="334"/>
      <c r="G27" s="334"/>
      <c r="H27" s="334"/>
      <c r="I27" s="366"/>
      <c r="J27" s="365"/>
      <c r="K27" s="365"/>
      <c r="L27" s="365"/>
    </row>
    <row r="28" spans="2:9" ht="14.25" hidden="1">
      <c r="B28" s="65"/>
      <c r="C28" s="65"/>
      <c r="D28" s="65"/>
      <c r="E28" s="65"/>
      <c r="F28" s="65"/>
      <c r="G28" s="65"/>
      <c r="H28" s="65"/>
      <c r="I28" s="76"/>
    </row>
    <row r="29" spans="2:9" ht="15" hidden="1">
      <c r="B29" s="63" t="s">
        <v>2078</v>
      </c>
      <c r="C29" s="63"/>
      <c r="D29" s="65"/>
      <c r="E29" s="72" t="s">
        <v>1991</v>
      </c>
      <c r="F29" s="72"/>
      <c r="G29" s="72"/>
      <c r="H29" s="73" t="s">
        <v>2079</v>
      </c>
      <c r="I29" s="76"/>
    </row>
    <row r="30" spans="2:9" ht="14.25" hidden="1">
      <c r="B30" s="64"/>
      <c r="C30" s="64"/>
      <c r="D30" s="65"/>
      <c r="E30" s="72" t="s">
        <v>1992</v>
      </c>
      <c r="F30" s="72"/>
      <c r="G30" s="72"/>
      <c r="H30" s="72" t="s">
        <v>1675</v>
      </c>
      <c r="I30" s="76"/>
    </row>
    <row r="31" spans="2:9" ht="14.25" hidden="1">
      <c r="B31" s="64"/>
      <c r="C31" s="64"/>
      <c r="D31" s="65"/>
      <c r="E31" s="65"/>
      <c r="F31" s="65"/>
      <c r="G31" s="65"/>
      <c r="H31" s="65"/>
      <c r="I31" s="76"/>
    </row>
    <row r="32" spans="2:9" ht="14.25" hidden="1">
      <c r="B32" s="1425" t="s">
        <v>1993</v>
      </c>
      <c r="C32" s="1425"/>
      <c r="D32" s="1425"/>
      <c r="E32" s="1425"/>
      <c r="F32" s="74"/>
      <c r="G32" s="65"/>
      <c r="H32" s="65"/>
      <c r="I32" s="76"/>
    </row>
    <row r="33" spans="2:9" ht="14.25" hidden="1">
      <c r="B33" s="65"/>
      <c r="C33" s="65"/>
      <c r="D33" s="65"/>
      <c r="E33" s="65"/>
      <c r="F33" s="65"/>
      <c r="G33" s="65"/>
      <c r="H33" s="65"/>
      <c r="I33" s="76"/>
    </row>
    <row r="34" spans="2:9" ht="14.25">
      <c r="B34" s="65"/>
      <c r="C34" s="65"/>
      <c r="D34" s="65"/>
      <c r="E34" s="65"/>
      <c r="F34" s="65"/>
      <c r="G34" s="65"/>
      <c r="H34" s="65"/>
      <c r="I34" s="76"/>
    </row>
  </sheetData>
  <sheetProtection/>
  <mergeCells count="11">
    <mergeCell ref="E3:F3"/>
    <mergeCell ref="G3:H3"/>
    <mergeCell ref="I2:J3"/>
    <mergeCell ref="K2:L3"/>
    <mergeCell ref="B24:E24"/>
    <mergeCell ref="B32:E32"/>
    <mergeCell ref="A1:L1"/>
    <mergeCell ref="A2:A4"/>
    <mergeCell ref="B2:B4"/>
    <mergeCell ref="C2:H2"/>
    <mergeCell ref="C3:D3"/>
  </mergeCells>
  <printOptions/>
  <pageMargins left="0.7874015748031497" right="0.4724409448818898" top="1.1811023622047245" bottom="0.1968503937007874" header="0.5118110236220472" footer="0.5118110236220472"/>
  <pageSetup horizontalDpi="600" verticalDpi="600" orientation="landscape" paperSize="9" scale="83" r:id="rId1"/>
</worksheet>
</file>

<file path=xl/worksheets/sheet30.xml><?xml version="1.0" encoding="utf-8"?>
<worksheet xmlns="http://schemas.openxmlformats.org/spreadsheetml/2006/main" xmlns:r="http://schemas.openxmlformats.org/officeDocument/2006/relationships">
  <sheetPr>
    <tabColor rgb="FF00B050"/>
  </sheetPr>
  <dimension ref="A1:K8"/>
  <sheetViews>
    <sheetView view="pageBreakPreview" zoomScaleSheetLayoutView="100" zoomScalePageLayoutView="0" workbookViewId="0" topLeftCell="A1">
      <selection activeCell="J24" sqref="J24"/>
    </sheetView>
  </sheetViews>
  <sheetFormatPr defaultColWidth="9.00390625" defaultRowHeight="12.75"/>
  <cols>
    <col min="1" max="1" width="4.25390625" style="0" customWidth="1"/>
    <col min="2" max="2" width="20.00390625" style="0" customWidth="1"/>
    <col min="3" max="3" width="13.375" style="0" customWidth="1"/>
    <col min="4" max="4" width="12.75390625" style="0" customWidth="1"/>
    <col min="5" max="5" width="9.875" style="0" customWidth="1"/>
    <col min="6" max="6" width="9.125" style="0" customWidth="1"/>
    <col min="7" max="7" width="19.125" style="0" customWidth="1"/>
    <col min="8" max="8" width="11.125" style="0" customWidth="1"/>
    <col min="9" max="9" width="11.75390625" style="0" customWidth="1"/>
    <col min="10" max="10" width="11.25390625" style="0" customWidth="1"/>
    <col min="11" max="11" width="11.125" style="0" customWidth="1"/>
  </cols>
  <sheetData>
    <row r="1" spans="1:11" s="4" customFormat="1" ht="27" customHeight="1">
      <c r="A1" s="1620" t="s">
        <v>145</v>
      </c>
      <c r="B1" s="1620"/>
      <c r="C1" s="1620"/>
      <c r="D1" s="1620"/>
      <c r="E1" s="1620"/>
      <c r="F1" s="1620"/>
      <c r="G1" s="1620"/>
      <c r="H1" s="1620"/>
      <c r="I1" s="1620"/>
      <c r="J1" s="1620"/>
      <c r="K1" s="1620"/>
    </row>
    <row r="2" spans="1:11" s="5" customFormat="1" ht="14.25" customHeight="1">
      <c r="A2" s="1600" t="s">
        <v>2082</v>
      </c>
      <c r="B2" s="1600" t="s">
        <v>2090</v>
      </c>
      <c r="C2" s="1631" t="s">
        <v>2190</v>
      </c>
      <c r="D2" s="1631"/>
      <c r="E2" s="1600" t="s">
        <v>61</v>
      </c>
      <c r="F2" s="1600"/>
      <c r="G2" s="1600"/>
      <c r="H2" s="1600"/>
      <c r="I2" s="1600"/>
      <c r="J2" s="1600"/>
      <c r="K2" s="1600"/>
    </row>
    <row r="3" spans="1:11" s="5" customFormat="1" ht="35.25" customHeight="1">
      <c r="A3" s="1600"/>
      <c r="B3" s="1600"/>
      <c r="C3" s="1631"/>
      <c r="D3" s="1631"/>
      <c r="E3" s="1626">
        <v>2015</v>
      </c>
      <c r="F3" s="1627"/>
      <c r="G3" s="1627"/>
      <c r="H3" s="367">
        <v>2016</v>
      </c>
      <c r="I3" s="367">
        <v>2017</v>
      </c>
      <c r="J3" s="367">
        <v>2018</v>
      </c>
      <c r="K3" s="367">
        <v>2019</v>
      </c>
    </row>
    <row r="4" spans="1:11" s="5" customFormat="1" ht="17.25" customHeight="1">
      <c r="A4" s="1600"/>
      <c r="B4" s="1600"/>
      <c r="C4" s="1600" t="s">
        <v>464</v>
      </c>
      <c r="D4" s="1600" t="s">
        <v>2085</v>
      </c>
      <c r="E4" s="1600" t="s">
        <v>66</v>
      </c>
      <c r="F4" s="1600"/>
      <c r="G4" s="1600" t="s">
        <v>147</v>
      </c>
      <c r="H4" s="1600" t="s">
        <v>1873</v>
      </c>
      <c r="I4" s="1600" t="s">
        <v>1873</v>
      </c>
      <c r="J4" s="1600" t="s">
        <v>1873</v>
      </c>
      <c r="K4" s="1600" t="s">
        <v>1873</v>
      </c>
    </row>
    <row r="5" spans="1:11" s="5" customFormat="1" ht="15.75" customHeight="1" hidden="1">
      <c r="A5" s="1600"/>
      <c r="B5" s="1600"/>
      <c r="C5" s="1600"/>
      <c r="D5" s="1600"/>
      <c r="E5" s="1600"/>
      <c r="F5" s="1600"/>
      <c r="G5" s="1600"/>
      <c r="H5" s="1600"/>
      <c r="I5" s="1600"/>
      <c r="J5" s="1600"/>
      <c r="K5" s="1600"/>
    </row>
    <row r="6" spans="1:11" s="5" customFormat="1" ht="32.25" customHeight="1">
      <c r="A6" s="1600"/>
      <c r="B6" s="1600"/>
      <c r="C6" s="1600"/>
      <c r="D6" s="1600"/>
      <c r="E6" s="304" t="s">
        <v>1873</v>
      </c>
      <c r="F6" s="304" t="s">
        <v>2085</v>
      </c>
      <c r="G6" s="1600"/>
      <c r="H6" s="1600"/>
      <c r="I6" s="1600"/>
      <c r="J6" s="1600"/>
      <c r="K6" s="1600"/>
    </row>
    <row r="7" spans="1:11" s="5" customFormat="1" ht="15.75" customHeight="1">
      <c r="A7" s="738">
        <v>1</v>
      </c>
      <c r="B7" s="738">
        <v>2</v>
      </c>
      <c r="C7" s="738">
        <v>3</v>
      </c>
      <c r="D7" s="738">
        <v>4</v>
      </c>
      <c r="E7" s="738">
        <v>5</v>
      </c>
      <c r="F7" s="738">
        <v>6</v>
      </c>
      <c r="G7" s="738">
        <v>7</v>
      </c>
      <c r="H7" s="738">
        <v>8</v>
      </c>
      <c r="I7" s="738">
        <v>9</v>
      </c>
      <c r="J7" s="738">
        <v>10</v>
      </c>
      <c r="K7" s="738">
        <v>11</v>
      </c>
    </row>
    <row r="8" spans="1:11" s="4" customFormat="1" ht="30">
      <c r="A8" s="716">
        <v>1</v>
      </c>
      <c r="B8" s="716" t="s">
        <v>1968</v>
      </c>
      <c r="C8" s="711">
        <f>H8+I8+J8+K8+E8</f>
        <v>62035.9540295</v>
      </c>
      <c r="D8" s="795">
        <v>1</v>
      </c>
      <c r="E8" s="368">
        <f>'6. Пров закупівлі'!F209</f>
        <v>9270.305</v>
      </c>
      <c r="F8" s="720">
        <v>1</v>
      </c>
      <c r="G8" s="368"/>
      <c r="H8" s="368">
        <f>E8*1.2</f>
        <v>11124.366</v>
      </c>
      <c r="I8" s="368">
        <f>H8*1.15</f>
        <v>12793.0209</v>
      </c>
      <c r="J8" s="368">
        <f>I8*1.1</f>
        <v>14072.32299</v>
      </c>
      <c r="K8" s="368">
        <f>J8*1.05</f>
        <v>14775.939139500002</v>
      </c>
    </row>
  </sheetData>
  <sheetProtection/>
  <mergeCells count="14">
    <mergeCell ref="A1:K1"/>
    <mergeCell ref="A2:A6"/>
    <mergeCell ref="B2:B6"/>
    <mergeCell ref="C2:D3"/>
    <mergeCell ref="E2:K2"/>
    <mergeCell ref="E3:G3"/>
    <mergeCell ref="C4:C6"/>
    <mergeCell ref="D4:D6"/>
    <mergeCell ref="J4:J6"/>
    <mergeCell ref="K4:K6"/>
    <mergeCell ref="E4:F5"/>
    <mergeCell ref="G4:G6"/>
    <mergeCell ref="H4:H6"/>
    <mergeCell ref="I4:I6"/>
  </mergeCells>
  <printOptions/>
  <pageMargins left="1.062992125984252" right="0.31496062992125984" top="0.7874015748031497" bottom="0.984251968503937"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rgb="FF00B050"/>
  </sheetPr>
  <dimension ref="A1:K8"/>
  <sheetViews>
    <sheetView view="pageBreakPreview" zoomScaleSheetLayoutView="100" zoomScalePageLayoutView="0" workbookViewId="0" topLeftCell="A1">
      <selection activeCell="K18" sqref="K18"/>
    </sheetView>
  </sheetViews>
  <sheetFormatPr defaultColWidth="9.00390625" defaultRowHeight="12.75"/>
  <cols>
    <col min="1" max="1" width="5.625" style="4" customWidth="1"/>
    <col min="2" max="2" width="22.75390625" style="4" customWidth="1"/>
    <col min="3" max="3" width="13.875" style="4" customWidth="1"/>
    <col min="4" max="4" width="13.25390625" style="4" customWidth="1"/>
    <col min="5" max="5" width="14.00390625" style="4" customWidth="1"/>
    <col min="6" max="6" width="9.625" style="4" customWidth="1"/>
    <col min="7" max="7" width="19.125" style="4" customWidth="1"/>
    <col min="8" max="8" width="13.75390625" style="4" customWidth="1"/>
    <col min="9" max="9" width="13.375" style="4" customWidth="1"/>
    <col min="10" max="10" width="13.25390625" style="4" customWidth="1"/>
    <col min="11" max="11" width="13.375" style="4" customWidth="1"/>
    <col min="12" max="16384" width="9.125" style="4" customWidth="1"/>
  </cols>
  <sheetData>
    <row r="1" spans="1:11" ht="27" customHeight="1">
      <c r="A1" s="1620" t="s">
        <v>146</v>
      </c>
      <c r="B1" s="1620"/>
      <c r="C1" s="1620"/>
      <c r="D1" s="1620"/>
      <c r="E1" s="1620"/>
      <c r="F1" s="1620"/>
      <c r="G1" s="1620"/>
      <c r="H1" s="1620"/>
      <c r="I1" s="1620"/>
      <c r="J1" s="1620"/>
      <c r="K1" s="1620"/>
    </row>
    <row r="2" spans="1:11" s="5" customFormat="1" ht="18" customHeight="1">
      <c r="A2" s="1600" t="s">
        <v>2082</v>
      </c>
      <c r="B2" s="1600" t="s">
        <v>2090</v>
      </c>
      <c r="C2" s="1631" t="s">
        <v>2190</v>
      </c>
      <c r="D2" s="1631"/>
      <c r="E2" s="1600" t="s">
        <v>61</v>
      </c>
      <c r="F2" s="1600"/>
      <c r="G2" s="1600"/>
      <c r="H2" s="1600"/>
      <c r="I2" s="1600"/>
      <c r="J2" s="1600"/>
      <c r="K2" s="1600"/>
    </row>
    <row r="3" spans="1:11" s="5" customFormat="1" ht="26.25" customHeight="1">
      <c r="A3" s="1600"/>
      <c r="B3" s="1600"/>
      <c r="C3" s="1631"/>
      <c r="D3" s="1631"/>
      <c r="E3" s="1626">
        <v>2015</v>
      </c>
      <c r="F3" s="1627"/>
      <c r="G3" s="1627"/>
      <c r="H3" s="367">
        <v>2016</v>
      </c>
      <c r="I3" s="367">
        <v>2017</v>
      </c>
      <c r="J3" s="367">
        <v>2018</v>
      </c>
      <c r="K3" s="367">
        <v>2019</v>
      </c>
    </row>
    <row r="4" spans="1:11" s="5" customFormat="1" ht="17.25" customHeight="1">
      <c r="A4" s="1600"/>
      <c r="B4" s="1600"/>
      <c r="C4" s="1600" t="s">
        <v>1873</v>
      </c>
      <c r="D4" s="1600" t="s">
        <v>2085</v>
      </c>
      <c r="E4" s="1600" t="s">
        <v>66</v>
      </c>
      <c r="F4" s="1600"/>
      <c r="G4" s="1600" t="s">
        <v>147</v>
      </c>
      <c r="H4" s="1600" t="s">
        <v>1873</v>
      </c>
      <c r="I4" s="1600" t="s">
        <v>1873</v>
      </c>
      <c r="J4" s="1600" t="s">
        <v>1873</v>
      </c>
      <c r="K4" s="1600" t="s">
        <v>1873</v>
      </c>
    </row>
    <row r="5" spans="1:11" s="5" customFormat="1" ht="18.75" customHeight="1">
      <c r="A5" s="1600"/>
      <c r="B5" s="1600"/>
      <c r="C5" s="1600"/>
      <c r="D5" s="1600"/>
      <c r="E5" s="1600"/>
      <c r="F5" s="1600"/>
      <c r="G5" s="1600"/>
      <c r="H5" s="1600"/>
      <c r="I5" s="1600"/>
      <c r="J5" s="1600"/>
      <c r="K5" s="1600"/>
    </row>
    <row r="6" spans="1:11" s="5" customFormat="1" ht="24" customHeight="1">
      <c r="A6" s="1600"/>
      <c r="B6" s="1600"/>
      <c r="C6" s="1600"/>
      <c r="D6" s="1600"/>
      <c r="E6" s="304" t="s">
        <v>1873</v>
      </c>
      <c r="F6" s="304" t="s">
        <v>2085</v>
      </c>
      <c r="G6" s="1600"/>
      <c r="H6" s="1600"/>
      <c r="I6" s="1600"/>
      <c r="J6" s="1600"/>
      <c r="K6" s="1600"/>
    </row>
    <row r="7" spans="1:11" s="5" customFormat="1" ht="15" customHeight="1">
      <c r="A7" s="848">
        <v>1</v>
      </c>
      <c r="B7" s="848">
        <v>2</v>
      </c>
      <c r="C7" s="848">
        <v>3</v>
      </c>
      <c r="D7" s="848">
        <v>4</v>
      </c>
      <c r="E7" s="848">
        <v>5</v>
      </c>
      <c r="F7" s="848">
        <v>6</v>
      </c>
      <c r="G7" s="848">
        <v>7</v>
      </c>
      <c r="H7" s="848">
        <v>8</v>
      </c>
      <c r="I7" s="848">
        <v>9</v>
      </c>
      <c r="J7" s="848">
        <v>10</v>
      </c>
      <c r="K7" s="848">
        <v>11</v>
      </c>
    </row>
    <row r="8" spans="1:11" s="6" customFormat="1" ht="30.75" customHeight="1">
      <c r="A8" s="716">
        <v>1</v>
      </c>
      <c r="B8" s="716" t="s">
        <v>803</v>
      </c>
      <c r="C8" s="368">
        <f>H8+I8+J8+K8+E8</f>
        <v>5452.881331199999</v>
      </c>
      <c r="D8" s="795">
        <v>1</v>
      </c>
      <c r="E8" s="368">
        <f>'6. Пров закупівлі'!F216</f>
        <v>814.848</v>
      </c>
      <c r="F8" s="720">
        <v>1</v>
      </c>
      <c r="G8" s="368"/>
      <c r="H8" s="368">
        <f>E8*1.2</f>
        <v>977.8175999999999</v>
      </c>
      <c r="I8" s="368">
        <f>H8*1.15</f>
        <v>1124.4902399999999</v>
      </c>
      <c r="J8" s="368">
        <f>I8*1.1</f>
        <v>1236.9392639999999</v>
      </c>
      <c r="K8" s="368">
        <f>J8*1.05</f>
        <v>1298.7862272</v>
      </c>
    </row>
  </sheetData>
  <sheetProtection insertRows="0" deleteRows="0"/>
  <mergeCells count="14">
    <mergeCell ref="C2:D3"/>
    <mergeCell ref="E2:K2"/>
    <mergeCell ref="E3:G3"/>
    <mergeCell ref="C4:C6"/>
    <mergeCell ref="A1:K1"/>
    <mergeCell ref="H4:H6"/>
    <mergeCell ref="D4:D6"/>
    <mergeCell ref="E4:F5"/>
    <mergeCell ref="G4:G6"/>
    <mergeCell ref="B2:B6"/>
    <mergeCell ref="I4:I6"/>
    <mergeCell ref="J4:J6"/>
    <mergeCell ref="K4:K6"/>
    <mergeCell ref="A2:A6"/>
  </mergeCells>
  <printOptions/>
  <pageMargins left="1.062992125984252" right="0.3937007874015748" top="0.7874015748031497" bottom="0.984251968503937" header="0.5118110236220472" footer="0.5118110236220472"/>
  <pageSetup horizontalDpi="600" verticalDpi="600" orientation="landscape" paperSize="9" scale="80" r:id="rId1"/>
</worksheet>
</file>

<file path=xl/worksheets/sheet32.xml><?xml version="1.0" encoding="utf-8"?>
<worksheet xmlns="http://schemas.openxmlformats.org/spreadsheetml/2006/main" xmlns:r="http://schemas.openxmlformats.org/officeDocument/2006/relationships">
  <sheetPr>
    <tabColor rgb="FF00B050"/>
    <pageSetUpPr fitToPage="1"/>
  </sheetPr>
  <dimension ref="A1:AA231"/>
  <sheetViews>
    <sheetView tabSelected="1" defaultGridColor="0" view="pageBreakPreview" zoomScale="75" zoomScaleNormal="85" zoomScaleSheetLayoutView="75" zoomScalePageLayoutView="55" colorId="12" workbookViewId="0" topLeftCell="A1">
      <pane xSplit="2" ySplit="10" topLeftCell="S54" activePane="bottomRight" state="frozen"/>
      <selection pane="topLeft" activeCell="F10" sqref="F10"/>
      <selection pane="topRight" activeCell="F10" sqref="F10"/>
      <selection pane="bottomLeft" activeCell="F10" sqref="F10"/>
      <selection pane="bottomRight" activeCell="S58" sqref="S58"/>
    </sheetView>
  </sheetViews>
  <sheetFormatPr defaultColWidth="9.00390625" defaultRowHeight="12.75" outlineLevelRow="1"/>
  <cols>
    <col min="1" max="1" width="11.00390625" style="1140" customWidth="1"/>
    <col min="2" max="2" width="64.125" style="1141" customWidth="1"/>
    <col min="3" max="3" width="11.00390625" style="1141" customWidth="1"/>
    <col min="4" max="4" width="12.375" style="1142" customWidth="1"/>
    <col min="5" max="5" width="11.875" style="1142" customWidth="1"/>
    <col min="6" max="6" width="13.625" style="1142" customWidth="1"/>
    <col min="7" max="7" width="11.375" style="1142" customWidth="1"/>
    <col min="8" max="8" width="11.75390625" style="1142" customWidth="1"/>
    <col min="9" max="9" width="11.125" style="1142" customWidth="1"/>
    <col min="10" max="10" width="12.00390625" style="1142" customWidth="1"/>
    <col min="11" max="11" width="10.375" style="1142" customWidth="1"/>
    <col min="12" max="13" width="11.25390625" style="1142" customWidth="1"/>
    <col min="14" max="14" width="11.375" style="1142" customWidth="1"/>
    <col min="15" max="15" width="26.125" style="1141" customWidth="1"/>
    <col min="16" max="17" width="18.625" style="1141" customWidth="1"/>
    <col min="18" max="18" width="17.25390625" style="1141" customWidth="1"/>
    <col min="19" max="19" width="19.125" style="1141" customWidth="1"/>
    <col min="20" max="20" width="9.125" style="1143" customWidth="1"/>
    <col min="21" max="21" width="17.125" style="1143" customWidth="1"/>
    <col min="22" max="22" width="5.375" style="1143" customWidth="1"/>
    <col min="23" max="23" width="18.75390625" style="1143" customWidth="1"/>
    <col min="24" max="24" width="8.625" style="1143" customWidth="1"/>
    <col min="25" max="25" width="16.00390625" style="1143" customWidth="1"/>
    <col min="26" max="26" width="7.375" style="1143" customWidth="1"/>
    <col min="27" max="27" width="12.00390625" style="1143" customWidth="1"/>
    <col min="28" max="16384" width="9.125" style="1143" customWidth="1"/>
  </cols>
  <sheetData>
    <row r="1" spans="5:6" ht="13.5" customHeight="1" hidden="1">
      <c r="E1" s="1142" t="s">
        <v>2214</v>
      </c>
      <c r="F1" s="854" t="s">
        <v>1944</v>
      </c>
    </row>
    <row r="2" ht="12.75" hidden="1">
      <c r="F2" s="854" t="s">
        <v>1974</v>
      </c>
    </row>
    <row r="3" ht="12.75" hidden="1">
      <c r="F3" s="855"/>
    </row>
    <row r="4" spans="5:6" ht="12.75" hidden="1">
      <c r="E4" s="1144"/>
      <c r="F4" s="855" t="s">
        <v>1945</v>
      </c>
    </row>
    <row r="5" ht="13.5" hidden="1" thickBot="1"/>
    <row r="6" spans="1:19" s="1145" customFormat="1" ht="36.75" customHeight="1" thickBot="1">
      <c r="A6" s="1704" t="s">
        <v>653</v>
      </c>
      <c r="B6" s="1705"/>
      <c r="C6" s="1705"/>
      <c r="D6" s="1705"/>
      <c r="E6" s="1705"/>
      <c r="F6" s="1705"/>
      <c r="G6" s="1705"/>
      <c r="H6" s="1705"/>
      <c r="I6" s="1705"/>
      <c r="J6" s="1705"/>
      <c r="K6" s="1705"/>
      <c r="L6" s="1705"/>
      <c r="M6" s="1705"/>
      <c r="N6" s="1705"/>
      <c r="O6" s="1705"/>
      <c r="P6" s="1705"/>
      <c r="Q6" s="1705"/>
      <c r="R6" s="1705"/>
      <c r="S6" s="1706"/>
    </row>
    <row r="7" spans="1:19" s="1145" customFormat="1" ht="15" customHeight="1" thickBot="1">
      <c r="A7" s="1674" t="s">
        <v>2082</v>
      </c>
      <c r="B7" s="1684" t="s">
        <v>2106</v>
      </c>
      <c r="C7" s="1707" t="s">
        <v>2101</v>
      </c>
      <c r="D7" s="1709" t="s">
        <v>0</v>
      </c>
      <c r="E7" s="1698" t="s">
        <v>1681</v>
      </c>
      <c r="F7" s="1699"/>
      <c r="G7" s="1690" t="s">
        <v>2107</v>
      </c>
      <c r="H7" s="1690"/>
      <c r="I7" s="1690"/>
      <c r="J7" s="1690"/>
      <c r="K7" s="1690"/>
      <c r="L7" s="1690"/>
      <c r="M7" s="1690"/>
      <c r="N7" s="1691"/>
      <c r="O7" s="1694" t="s">
        <v>2102</v>
      </c>
      <c r="P7" s="1686" t="s">
        <v>1989</v>
      </c>
      <c r="Q7" s="1679" t="s">
        <v>1858</v>
      </c>
      <c r="R7" s="1679" t="s">
        <v>183</v>
      </c>
      <c r="S7" s="1676" t="s">
        <v>1747</v>
      </c>
    </row>
    <row r="8" spans="1:19" s="1145" customFormat="1" ht="17.25" customHeight="1">
      <c r="A8" s="1675"/>
      <c r="B8" s="1685"/>
      <c r="C8" s="1708"/>
      <c r="D8" s="1697"/>
      <c r="E8" s="1701" t="s">
        <v>112</v>
      </c>
      <c r="F8" s="1667" t="s">
        <v>2216</v>
      </c>
      <c r="G8" s="1668" t="s">
        <v>2098</v>
      </c>
      <c r="H8" s="1669"/>
      <c r="I8" s="1682" t="s">
        <v>2099</v>
      </c>
      <c r="J8" s="1683"/>
      <c r="K8" s="1670" t="s">
        <v>2100</v>
      </c>
      <c r="L8" s="1671"/>
      <c r="M8" s="1672" t="s">
        <v>2012</v>
      </c>
      <c r="N8" s="1673"/>
      <c r="O8" s="1695"/>
      <c r="P8" s="1687"/>
      <c r="Q8" s="1680"/>
      <c r="R8" s="1680"/>
      <c r="S8" s="1677"/>
    </row>
    <row r="9" spans="1:19" s="1145" customFormat="1" ht="26.25" customHeight="1">
      <c r="A9" s="1675"/>
      <c r="B9" s="1685"/>
      <c r="C9" s="1708"/>
      <c r="D9" s="1697"/>
      <c r="E9" s="1701"/>
      <c r="F9" s="1667"/>
      <c r="G9" s="1700" t="s">
        <v>2097</v>
      </c>
      <c r="H9" s="1689" t="s">
        <v>2217</v>
      </c>
      <c r="I9" s="1697" t="s">
        <v>2097</v>
      </c>
      <c r="J9" s="1667" t="s">
        <v>2218</v>
      </c>
      <c r="K9" s="1710" t="s">
        <v>2097</v>
      </c>
      <c r="L9" s="1689" t="s">
        <v>439</v>
      </c>
      <c r="M9" s="1697" t="s">
        <v>2097</v>
      </c>
      <c r="N9" s="1667" t="s">
        <v>439</v>
      </c>
      <c r="O9" s="1695"/>
      <c r="P9" s="1687"/>
      <c r="Q9" s="1680"/>
      <c r="R9" s="1680"/>
      <c r="S9" s="1677"/>
    </row>
    <row r="10" spans="1:19" s="1145" customFormat="1" ht="30.75" customHeight="1">
      <c r="A10" s="1675"/>
      <c r="B10" s="1685"/>
      <c r="C10" s="1708"/>
      <c r="D10" s="1697"/>
      <c r="E10" s="1701"/>
      <c r="F10" s="1667"/>
      <c r="G10" s="1700"/>
      <c r="H10" s="1689"/>
      <c r="I10" s="1697"/>
      <c r="J10" s="1667"/>
      <c r="K10" s="1711"/>
      <c r="L10" s="1689"/>
      <c r="M10" s="1697"/>
      <c r="N10" s="1667"/>
      <c r="O10" s="1696"/>
      <c r="P10" s="1688"/>
      <c r="Q10" s="1681"/>
      <c r="R10" s="1681"/>
      <c r="S10" s="1678"/>
    </row>
    <row r="11" spans="1:19" s="1146" customFormat="1" ht="14.25" customHeight="1">
      <c r="A11" s="1078" t="s">
        <v>1876</v>
      </c>
      <c r="B11" s="1084">
        <v>2</v>
      </c>
      <c r="C11" s="1309">
        <v>3</v>
      </c>
      <c r="D11" s="1078">
        <v>4</v>
      </c>
      <c r="E11" s="1079">
        <v>5</v>
      </c>
      <c r="F11" s="1080">
        <v>6</v>
      </c>
      <c r="G11" s="1081">
        <v>7</v>
      </c>
      <c r="H11" s="1084">
        <v>8</v>
      </c>
      <c r="I11" s="1078">
        <v>9</v>
      </c>
      <c r="J11" s="1080">
        <v>10</v>
      </c>
      <c r="K11" s="1081">
        <v>11</v>
      </c>
      <c r="L11" s="1084">
        <v>12</v>
      </c>
      <c r="M11" s="1078">
        <v>13</v>
      </c>
      <c r="N11" s="1080">
        <v>14</v>
      </c>
      <c r="O11" s="1082">
        <v>15</v>
      </c>
      <c r="P11" s="1083">
        <v>16</v>
      </c>
      <c r="Q11" s="1084">
        <v>17</v>
      </c>
      <c r="R11" s="1084">
        <v>18</v>
      </c>
      <c r="S11" s="1080">
        <v>19</v>
      </c>
    </row>
    <row r="12" spans="1:19" ht="21" customHeight="1">
      <c r="A12" s="279" t="s">
        <v>1582</v>
      </c>
      <c r="B12" s="280"/>
      <c r="C12" s="1226"/>
      <c r="D12" s="858"/>
      <c r="E12" s="856"/>
      <c r="F12" s="857"/>
      <c r="G12" s="856"/>
      <c r="H12" s="1233"/>
      <c r="I12" s="858"/>
      <c r="J12" s="859"/>
      <c r="K12" s="856"/>
      <c r="L12" s="1289"/>
      <c r="M12" s="1296"/>
      <c r="N12" s="860"/>
      <c r="O12" s="162"/>
      <c r="P12" s="160"/>
      <c r="Q12" s="159"/>
      <c r="R12" s="159"/>
      <c r="S12" s="161"/>
    </row>
    <row r="13" spans="1:27" s="147" customFormat="1" ht="33.75" customHeight="1">
      <c r="A13" s="163" t="s">
        <v>1874</v>
      </c>
      <c r="B13" s="1170" t="s">
        <v>1859</v>
      </c>
      <c r="C13" s="1310"/>
      <c r="D13" s="1362"/>
      <c r="E13" s="862"/>
      <c r="F13" s="863"/>
      <c r="G13" s="866"/>
      <c r="H13" s="1153"/>
      <c r="I13" s="864"/>
      <c r="J13" s="865"/>
      <c r="K13" s="866"/>
      <c r="L13" s="1153"/>
      <c r="M13" s="867"/>
      <c r="N13" s="868"/>
      <c r="O13" s="164"/>
      <c r="P13" s="165"/>
      <c r="Q13" s="166"/>
      <c r="R13" s="166"/>
      <c r="S13" s="167"/>
      <c r="U13" s="283" t="s">
        <v>2191</v>
      </c>
      <c r="V13" s="283"/>
      <c r="W13" s="283" t="s">
        <v>2192</v>
      </c>
      <c r="X13" s="283"/>
      <c r="Y13" s="283" t="s">
        <v>2193</v>
      </c>
      <c r="Z13" s="283"/>
      <c r="AA13" s="283"/>
    </row>
    <row r="14" spans="1:19" s="147" customFormat="1" ht="30" customHeight="1" hidden="1">
      <c r="A14" s="168" t="s">
        <v>1877</v>
      </c>
      <c r="B14" s="1171" t="s">
        <v>2156</v>
      </c>
      <c r="C14" s="1310"/>
      <c r="D14" s="1362"/>
      <c r="E14" s="862"/>
      <c r="F14" s="865"/>
      <c r="G14" s="866"/>
      <c r="H14" s="1153"/>
      <c r="I14" s="864"/>
      <c r="J14" s="865"/>
      <c r="K14" s="866"/>
      <c r="L14" s="1153"/>
      <c r="M14" s="867"/>
      <c r="N14" s="868"/>
      <c r="O14" s="164"/>
      <c r="P14" s="165"/>
      <c r="Q14" s="166"/>
      <c r="R14" s="166"/>
      <c r="S14" s="167"/>
    </row>
    <row r="15" spans="1:19" s="147" customFormat="1" ht="12" customHeight="1" hidden="1">
      <c r="A15" s="169"/>
      <c r="B15" s="1172"/>
      <c r="C15" s="1311"/>
      <c r="D15" s="1362"/>
      <c r="E15" s="869"/>
      <c r="F15" s="865"/>
      <c r="G15" s="866"/>
      <c r="H15" s="1153"/>
      <c r="I15" s="864"/>
      <c r="J15" s="865"/>
      <c r="K15" s="866"/>
      <c r="L15" s="1153"/>
      <c r="M15" s="867"/>
      <c r="N15" s="870"/>
      <c r="O15" s="164"/>
      <c r="P15" s="165"/>
      <c r="Q15" s="166"/>
      <c r="R15" s="166"/>
      <c r="S15" s="167"/>
    </row>
    <row r="16" spans="1:19" s="147" customFormat="1" ht="15.75" customHeight="1" hidden="1">
      <c r="A16" s="163"/>
      <c r="B16" s="1171" t="s">
        <v>1641</v>
      </c>
      <c r="C16" s="1312"/>
      <c r="D16" s="873"/>
      <c r="E16" s="871"/>
      <c r="F16" s="872">
        <f>SUM(F15)</f>
        <v>0</v>
      </c>
      <c r="G16" s="874"/>
      <c r="H16" s="1234">
        <f>SUM(H15)</f>
        <v>0</v>
      </c>
      <c r="I16" s="873"/>
      <c r="J16" s="872">
        <f>SUM(J15)</f>
        <v>0</v>
      </c>
      <c r="K16" s="874"/>
      <c r="L16" s="1234">
        <f>SUM(L15)</f>
        <v>0</v>
      </c>
      <c r="M16" s="873"/>
      <c r="N16" s="872">
        <f>SUM(N15)</f>
        <v>0</v>
      </c>
      <c r="O16" s="164"/>
      <c r="P16" s="165"/>
      <c r="Q16" s="166"/>
      <c r="R16" s="166"/>
      <c r="S16" s="167"/>
    </row>
    <row r="17" spans="1:25" s="52" customFormat="1" ht="26.25" customHeight="1" hidden="1">
      <c r="A17" s="168" t="s">
        <v>1980</v>
      </c>
      <c r="B17" s="1171" t="s">
        <v>2219</v>
      </c>
      <c r="C17" s="1313"/>
      <c r="D17" s="923"/>
      <c r="E17" s="875"/>
      <c r="F17" s="876"/>
      <c r="G17" s="878"/>
      <c r="H17" s="1235"/>
      <c r="I17" s="877"/>
      <c r="J17" s="876"/>
      <c r="K17" s="878"/>
      <c r="L17" s="1235"/>
      <c r="M17" s="877"/>
      <c r="N17" s="876"/>
      <c r="O17" s="170"/>
      <c r="P17" s="171"/>
      <c r="Q17" s="172"/>
      <c r="R17" s="173"/>
      <c r="S17" s="174"/>
      <c r="U17" s="52">
        <v>25072</v>
      </c>
      <c r="W17" s="52">
        <v>18732</v>
      </c>
      <c r="Y17" s="52">
        <v>15394</v>
      </c>
    </row>
    <row r="18" spans="1:22" s="52" customFormat="1" ht="15.75" customHeight="1" hidden="1">
      <c r="A18" s="175" t="s">
        <v>1637</v>
      </c>
      <c r="B18" s="1173" t="s">
        <v>2103</v>
      </c>
      <c r="C18" s="1314"/>
      <c r="D18" s="923"/>
      <c r="E18" s="875"/>
      <c r="F18" s="876"/>
      <c r="G18" s="878"/>
      <c r="H18" s="1235"/>
      <c r="I18" s="877"/>
      <c r="J18" s="876"/>
      <c r="K18" s="878"/>
      <c r="L18" s="1235"/>
      <c r="M18" s="877"/>
      <c r="N18" s="876"/>
      <c r="O18" s="177"/>
      <c r="P18" s="171"/>
      <c r="Q18" s="172"/>
      <c r="R18" s="173"/>
      <c r="S18" s="174"/>
      <c r="U18" s="105"/>
      <c r="V18" s="105"/>
    </row>
    <row r="19" spans="1:22" s="52" customFormat="1" ht="15.75" customHeight="1" hidden="1">
      <c r="A19" s="168"/>
      <c r="B19" s="1174" t="s">
        <v>1638</v>
      </c>
      <c r="C19" s="1315"/>
      <c r="D19" s="881"/>
      <c r="E19" s="879"/>
      <c r="F19" s="880">
        <f>SUM(F18)</f>
        <v>0</v>
      </c>
      <c r="G19" s="1218"/>
      <c r="H19" s="1236">
        <f aca="true" t="shared" si="0" ref="H19:N19">SUM(H18)</f>
        <v>0</v>
      </c>
      <c r="I19" s="1276"/>
      <c r="J19" s="880">
        <f t="shared" si="0"/>
        <v>0</v>
      </c>
      <c r="K19" s="1218"/>
      <c r="L19" s="1236">
        <f t="shared" si="0"/>
        <v>0</v>
      </c>
      <c r="M19" s="1276"/>
      <c r="N19" s="880">
        <f t="shared" si="0"/>
        <v>0</v>
      </c>
      <c r="O19" s="177"/>
      <c r="P19" s="171"/>
      <c r="Q19" s="172"/>
      <c r="R19" s="173"/>
      <c r="S19" s="174"/>
      <c r="U19" s="105"/>
      <c r="V19" s="105"/>
    </row>
    <row r="20" spans="1:27" s="52" customFormat="1" ht="15" customHeight="1">
      <c r="A20" s="175" t="s">
        <v>1583</v>
      </c>
      <c r="B20" s="1173" t="s">
        <v>1777</v>
      </c>
      <c r="C20" s="1316"/>
      <c r="D20" s="1363"/>
      <c r="E20" s="875"/>
      <c r="F20" s="883"/>
      <c r="G20" s="885"/>
      <c r="H20" s="1237"/>
      <c r="I20" s="884"/>
      <c r="J20" s="883"/>
      <c r="K20" s="885"/>
      <c r="L20" s="1237"/>
      <c r="M20" s="884"/>
      <c r="N20" s="883"/>
      <c r="O20" s="178"/>
      <c r="P20" s="171"/>
      <c r="Q20" s="179"/>
      <c r="R20" s="173"/>
      <c r="S20" s="174"/>
      <c r="U20" s="296"/>
      <c r="V20" s="296"/>
      <c r="W20" s="296"/>
      <c r="X20" s="296"/>
      <c r="Y20" s="296"/>
      <c r="AA20" s="105"/>
    </row>
    <row r="21" spans="1:27" s="52" customFormat="1" ht="33.75" customHeight="1">
      <c r="A21" s="294" t="s">
        <v>2244</v>
      </c>
      <c r="B21" s="1175" t="s">
        <v>2262</v>
      </c>
      <c r="C21" s="1317" t="s">
        <v>2104</v>
      </c>
      <c r="D21" s="877">
        <f>F21/E21</f>
        <v>851.3463235294116</v>
      </c>
      <c r="E21" s="886">
        <v>1.36</v>
      </c>
      <c r="F21" s="876">
        <v>1157.831</v>
      </c>
      <c r="G21" s="885"/>
      <c r="H21" s="1237"/>
      <c r="I21" s="884"/>
      <c r="J21" s="883"/>
      <c r="K21" s="885"/>
      <c r="L21" s="1235">
        <f>F21/2</f>
        <v>578.9155</v>
      </c>
      <c r="M21" s="887">
        <f>E21</f>
        <v>1.36</v>
      </c>
      <c r="N21" s="865">
        <f>F21-H21-J21-L21</f>
        <v>578.9155</v>
      </c>
      <c r="O21" s="178" t="s">
        <v>2192</v>
      </c>
      <c r="P21" s="171"/>
      <c r="Q21" s="1712" t="s">
        <v>2281</v>
      </c>
      <c r="R21" s="1655" t="s">
        <v>2290</v>
      </c>
      <c r="S21" s="174"/>
      <c r="U21" s="296">
        <v>25072</v>
      </c>
      <c r="V21" s="296"/>
      <c r="W21" s="296">
        <v>18732</v>
      </c>
      <c r="X21" s="296"/>
      <c r="Y21" s="296">
        <v>15394</v>
      </c>
      <c r="AA21" s="105"/>
    </row>
    <row r="22" spans="1:25" s="147" customFormat="1" ht="33" customHeight="1">
      <c r="A22" s="294" t="s">
        <v>2261</v>
      </c>
      <c r="B22" s="1172" t="s">
        <v>2245</v>
      </c>
      <c r="C22" s="1229" t="s">
        <v>2104</v>
      </c>
      <c r="D22" s="864">
        <f>F22/E22</f>
        <v>641.8514492753624</v>
      </c>
      <c r="E22" s="869">
        <v>1.656</v>
      </c>
      <c r="F22" s="865">
        <v>1062.906</v>
      </c>
      <c r="G22" s="890"/>
      <c r="H22" s="1238"/>
      <c r="I22" s="864"/>
      <c r="J22" s="865"/>
      <c r="K22" s="890"/>
      <c r="L22" s="1235">
        <f>F22/2</f>
        <v>531.453</v>
      </c>
      <c r="M22" s="887">
        <f>E22</f>
        <v>1.656</v>
      </c>
      <c r="N22" s="865">
        <f>F22-H22-J22-L22</f>
        <v>531.453</v>
      </c>
      <c r="O22" s="181" t="s">
        <v>2192</v>
      </c>
      <c r="P22" s="165"/>
      <c r="Q22" s="1713"/>
      <c r="R22" s="1656"/>
      <c r="S22" s="182"/>
      <c r="U22" s="295"/>
      <c r="V22" s="295"/>
      <c r="W22" s="295"/>
      <c r="X22" s="295"/>
      <c r="Y22" s="295"/>
    </row>
    <row r="23" spans="1:25" s="52" customFormat="1" ht="15" customHeight="1">
      <c r="A23" s="183"/>
      <c r="B23" s="1174" t="s">
        <v>1584</v>
      </c>
      <c r="C23" s="1315"/>
      <c r="D23" s="881"/>
      <c r="E23" s="879"/>
      <c r="F23" s="880">
        <f>SUM(F21:F22)</f>
        <v>2220.737</v>
      </c>
      <c r="G23" s="882"/>
      <c r="H23" s="1236">
        <f>SUM(H21:H22)</f>
        <v>0</v>
      </c>
      <c r="I23" s="881"/>
      <c r="J23" s="880">
        <f>SUM(J21:J22)</f>
        <v>0</v>
      </c>
      <c r="K23" s="882"/>
      <c r="L23" s="1236">
        <f>SUM(L21:L22)</f>
        <v>1110.3685</v>
      </c>
      <c r="M23" s="881"/>
      <c r="N23" s="880">
        <f>SUM(N21:N22)</f>
        <v>1110.3685</v>
      </c>
      <c r="O23" s="178"/>
      <c r="P23" s="171"/>
      <c r="Q23" s="179"/>
      <c r="R23" s="173"/>
      <c r="S23" s="184"/>
      <c r="U23" s="105">
        <f>F29+8476.44+F53</f>
        <v>25072.001000000004</v>
      </c>
      <c r="V23" s="105"/>
      <c r="W23" s="105">
        <f>F21+F22+F30+F31+F32+F33+F34+3641.47+2614.35</f>
        <v>18732.00203927</v>
      </c>
      <c r="Y23" s="296" t="e">
        <f>727.28+F81+F82+F89+F90+F91+F92+F109+F110+F111+F112+F113+F114+F115+F116+F117+F118+F119+F120+F125+F126+F127+F128+F134+F142+F149+F154+F161+F166+F169+F171+F183+F203+#REF!+F204+F205+F211+F212+F213+F214</f>
        <v>#REF!</v>
      </c>
    </row>
    <row r="24" spans="1:22" s="52" customFormat="1" ht="15" customHeight="1" hidden="1">
      <c r="A24" s="175" t="s">
        <v>478</v>
      </c>
      <c r="B24" s="1173" t="s">
        <v>1977</v>
      </c>
      <c r="C24" s="1318"/>
      <c r="D24" s="888"/>
      <c r="E24" s="891"/>
      <c r="F24" s="889"/>
      <c r="G24" s="890"/>
      <c r="H24" s="1238"/>
      <c r="I24" s="888"/>
      <c r="J24" s="889"/>
      <c r="K24" s="890"/>
      <c r="L24" s="1238"/>
      <c r="M24" s="888"/>
      <c r="N24" s="889"/>
      <c r="O24" s="178"/>
      <c r="P24" s="171"/>
      <c r="Q24" s="179"/>
      <c r="R24" s="173"/>
      <c r="S24" s="184"/>
      <c r="U24" s="105"/>
      <c r="V24" s="105"/>
    </row>
    <row r="25" spans="1:22" s="52" customFormat="1" ht="15.75" hidden="1">
      <c r="A25" s="180"/>
      <c r="B25" s="1176"/>
      <c r="C25" s="1229"/>
      <c r="D25" s="864"/>
      <c r="E25" s="869"/>
      <c r="F25" s="1147"/>
      <c r="G25" s="890"/>
      <c r="H25" s="1153"/>
      <c r="I25" s="888"/>
      <c r="J25" s="865"/>
      <c r="K25" s="866"/>
      <c r="L25" s="1153"/>
      <c r="M25" s="864"/>
      <c r="N25" s="865"/>
      <c r="O25" s="181"/>
      <c r="P25" s="1665"/>
      <c r="Q25" s="1659"/>
      <c r="R25" s="173"/>
      <c r="S25" s="184"/>
      <c r="U25" s="105"/>
      <c r="V25" s="105"/>
    </row>
    <row r="26" spans="1:22" s="52" customFormat="1" ht="36.75" customHeight="1" hidden="1">
      <c r="A26" s="180"/>
      <c r="B26" s="1177"/>
      <c r="C26" s="1229"/>
      <c r="D26" s="864"/>
      <c r="E26" s="869"/>
      <c r="F26" s="892"/>
      <c r="G26" s="890"/>
      <c r="H26" s="1153"/>
      <c r="I26" s="888"/>
      <c r="J26" s="865"/>
      <c r="K26" s="866"/>
      <c r="L26" s="1153"/>
      <c r="M26" s="864"/>
      <c r="N26" s="865"/>
      <c r="O26" s="185"/>
      <c r="P26" s="1666"/>
      <c r="Q26" s="1661"/>
      <c r="R26" s="173"/>
      <c r="S26" s="184"/>
      <c r="U26" s="105"/>
      <c r="V26" s="105"/>
    </row>
    <row r="27" spans="1:22" s="52" customFormat="1" ht="21" customHeight="1" hidden="1">
      <c r="A27" s="183"/>
      <c r="B27" s="1174" t="s">
        <v>479</v>
      </c>
      <c r="C27" s="1315"/>
      <c r="D27" s="881"/>
      <c r="E27" s="879"/>
      <c r="F27" s="880">
        <f>SUM(F25:F26)</f>
        <v>0</v>
      </c>
      <c r="G27" s="882"/>
      <c r="H27" s="1236">
        <f>SUM(H25:H26)</f>
        <v>0</v>
      </c>
      <c r="I27" s="881"/>
      <c r="J27" s="880">
        <f>SUM(J25:J26)</f>
        <v>0</v>
      </c>
      <c r="K27" s="882"/>
      <c r="L27" s="1236">
        <f>SUM(L25:L26)</f>
        <v>0</v>
      </c>
      <c r="M27" s="881"/>
      <c r="N27" s="880">
        <f>SUM(N25:N26)</f>
        <v>0</v>
      </c>
      <c r="O27" s="178"/>
      <c r="P27" s="171"/>
      <c r="Q27" s="179"/>
      <c r="R27" s="173"/>
      <c r="S27" s="184"/>
      <c r="U27" s="105"/>
      <c r="V27" s="105"/>
    </row>
    <row r="28" spans="1:25" s="52" customFormat="1" ht="15" customHeight="1">
      <c r="A28" s="188" t="s">
        <v>1585</v>
      </c>
      <c r="B28" s="1178" t="s">
        <v>174</v>
      </c>
      <c r="C28" s="1319"/>
      <c r="D28" s="1364"/>
      <c r="E28" s="893"/>
      <c r="F28" s="894"/>
      <c r="G28" s="896"/>
      <c r="H28" s="1239"/>
      <c r="I28" s="895"/>
      <c r="J28" s="894"/>
      <c r="K28" s="896"/>
      <c r="L28" s="1239"/>
      <c r="M28" s="895"/>
      <c r="N28" s="894"/>
      <c r="O28" s="178"/>
      <c r="P28" s="171"/>
      <c r="Q28" s="179"/>
      <c r="R28" s="173"/>
      <c r="S28" s="184"/>
      <c r="U28" s="106"/>
      <c r="W28" s="106"/>
      <c r="Y28" s="105"/>
    </row>
    <row r="29" spans="1:25" s="52" customFormat="1" ht="67.5" customHeight="1">
      <c r="A29" s="180" t="s">
        <v>1586</v>
      </c>
      <c r="B29" s="1177" t="s">
        <v>654</v>
      </c>
      <c r="C29" s="1229" t="s">
        <v>2104</v>
      </c>
      <c r="D29" s="867">
        <v>355.329</v>
      </c>
      <c r="E29" s="869">
        <f>F29/D29</f>
        <v>29.013002034734008</v>
      </c>
      <c r="F29" s="892">
        <v>10309.161</v>
      </c>
      <c r="G29" s="896"/>
      <c r="H29" s="1240"/>
      <c r="I29" s="1277"/>
      <c r="J29" s="876"/>
      <c r="K29" s="896"/>
      <c r="L29" s="1240">
        <f>F29/2</f>
        <v>5154.5805</v>
      </c>
      <c r="M29" s="895">
        <f aca="true" t="shared" si="1" ref="M29:M34">E29</f>
        <v>29.013002034734008</v>
      </c>
      <c r="N29" s="897">
        <f aca="true" t="shared" si="2" ref="N29:N35">F29-H29-J29-L29</f>
        <v>5154.5805</v>
      </c>
      <c r="O29" s="181" t="s">
        <v>2191</v>
      </c>
      <c r="P29" s="171" t="s">
        <v>2194</v>
      </c>
      <c r="Q29" s="1659" t="s">
        <v>2236</v>
      </c>
      <c r="R29" s="173" t="s">
        <v>2291</v>
      </c>
      <c r="S29" s="184"/>
      <c r="U29" s="105">
        <f>U21-U23</f>
        <v>-0.0010000000038417056</v>
      </c>
      <c r="W29" s="105">
        <f>W21-W23</f>
        <v>-0.002039269998931559</v>
      </c>
      <c r="Y29" s="105" t="e">
        <f>Y21-Y23</f>
        <v>#REF!</v>
      </c>
    </row>
    <row r="30" spans="1:25" s="52" customFormat="1" ht="53.25" customHeight="1">
      <c r="A30" s="180" t="s">
        <v>2263</v>
      </c>
      <c r="B30" s="1177" t="s">
        <v>2264</v>
      </c>
      <c r="C30" s="1229" t="s">
        <v>2104</v>
      </c>
      <c r="D30" s="867">
        <f>F30/E30</f>
        <v>415.59630064246863</v>
      </c>
      <c r="E30" s="869">
        <v>20.966</v>
      </c>
      <c r="F30" s="892">
        <v>8713.392039269998</v>
      </c>
      <c r="G30" s="896"/>
      <c r="H30" s="1240"/>
      <c r="I30" s="1277"/>
      <c r="J30" s="876"/>
      <c r="K30" s="896"/>
      <c r="L30" s="1240">
        <f>F30/2</f>
        <v>4356.696019634999</v>
      </c>
      <c r="M30" s="895">
        <f t="shared" si="1"/>
        <v>20.966</v>
      </c>
      <c r="N30" s="897">
        <f t="shared" si="2"/>
        <v>4356.696019634999</v>
      </c>
      <c r="O30" s="181" t="s">
        <v>2192</v>
      </c>
      <c r="P30" s="171" t="s">
        <v>2194</v>
      </c>
      <c r="Q30" s="1660"/>
      <c r="R30" s="173" t="s">
        <v>2292</v>
      </c>
      <c r="S30" s="184"/>
      <c r="U30" s="105"/>
      <c r="W30" s="105"/>
      <c r="Y30" s="105"/>
    </row>
    <row r="31" spans="1:19" s="52" customFormat="1" ht="36.75" customHeight="1">
      <c r="A31" s="180" t="s">
        <v>2253</v>
      </c>
      <c r="B31" s="1179" t="s">
        <v>2265</v>
      </c>
      <c r="C31" s="1229" t="s">
        <v>2104</v>
      </c>
      <c r="D31" s="867">
        <f>F31/E31</f>
        <v>1174.8728179551122</v>
      </c>
      <c r="E31" s="869">
        <v>0.401</v>
      </c>
      <c r="F31" s="892">
        <f>499.554-28.43</f>
        <v>471.12399999999997</v>
      </c>
      <c r="G31" s="896"/>
      <c r="H31" s="1240"/>
      <c r="I31" s="1277"/>
      <c r="J31" s="876">
        <f>F31/2</f>
        <v>235.56199999999998</v>
      </c>
      <c r="K31" s="896"/>
      <c r="L31" s="1240"/>
      <c r="M31" s="895">
        <f t="shared" si="1"/>
        <v>0.401</v>
      </c>
      <c r="N31" s="897">
        <f t="shared" si="2"/>
        <v>235.56199999999998</v>
      </c>
      <c r="O31" s="181" t="s">
        <v>2192</v>
      </c>
      <c r="P31" s="171" t="s">
        <v>2194</v>
      </c>
      <c r="Q31" s="1660" t="s">
        <v>2414</v>
      </c>
      <c r="R31" s="1655" t="s">
        <v>2293</v>
      </c>
      <c r="S31" s="184"/>
    </row>
    <row r="32" spans="1:19" s="52" customFormat="1" ht="39.75" customHeight="1">
      <c r="A32" s="180" t="s">
        <v>2254</v>
      </c>
      <c r="B32" s="1179" t="s">
        <v>2266</v>
      </c>
      <c r="C32" s="1229" t="s">
        <v>2104</v>
      </c>
      <c r="D32" s="867">
        <f>F32/E32</f>
        <v>1029.7789855072463</v>
      </c>
      <c r="E32" s="869">
        <v>0.276</v>
      </c>
      <c r="F32" s="892">
        <v>284.219</v>
      </c>
      <c r="G32" s="896"/>
      <c r="H32" s="1240"/>
      <c r="I32" s="1277"/>
      <c r="J32" s="876">
        <f>F32/2</f>
        <v>142.1095</v>
      </c>
      <c r="K32" s="896"/>
      <c r="L32" s="1240"/>
      <c r="M32" s="895">
        <f t="shared" si="1"/>
        <v>0.276</v>
      </c>
      <c r="N32" s="897">
        <f t="shared" si="2"/>
        <v>142.1095</v>
      </c>
      <c r="O32" s="181" t="s">
        <v>2192</v>
      </c>
      <c r="P32" s="171" t="s">
        <v>2194</v>
      </c>
      <c r="Q32" s="1660"/>
      <c r="R32" s="1657"/>
      <c r="S32" s="184"/>
    </row>
    <row r="33" spans="1:25" s="52" customFormat="1" ht="36" customHeight="1">
      <c r="A33" s="180" t="s">
        <v>2255</v>
      </c>
      <c r="B33" s="1179" t="s">
        <v>2256</v>
      </c>
      <c r="C33" s="1229" t="s">
        <v>2104</v>
      </c>
      <c r="D33" s="867">
        <f>F33/E33</f>
        <v>1624.7278911564626</v>
      </c>
      <c r="E33" s="869">
        <v>0.294</v>
      </c>
      <c r="F33" s="892">
        <v>477.67</v>
      </c>
      <c r="G33" s="896"/>
      <c r="H33" s="1240"/>
      <c r="I33" s="1277"/>
      <c r="J33" s="876">
        <f>F33/2</f>
        <v>238.835</v>
      </c>
      <c r="K33" s="896"/>
      <c r="L33" s="1240"/>
      <c r="M33" s="895">
        <f t="shared" si="1"/>
        <v>0.294</v>
      </c>
      <c r="N33" s="897">
        <f t="shared" si="2"/>
        <v>238.835</v>
      </c>
      <c r="O33" s="181" t="s">
        <v>2192</v>
      </c>
      <c r="P33" s="171" t="s">
        <v>2194</v>
      </c>
      <c r="Q33" s="1660"/>
      <c r="R33" s="1657"/>
      <c r="S33" s="184"/>
      <c r="U33" s="105"/>
      <c r="W33" s="303"/>
      <c r="Y33" s="303"/>
    </row>
    <row r="34" spans="1:19" s="52" customFormat="1" ht="39.75" customHeight="1">
      <c r="A34" s="180" t="s">
        <v>2267</v>
      </c>
      <c r="B34" s="1179" t="s">
        <v>2257</v>
      </c>
      <c r="C34" s="1229" t="s">
        <v>2104</v>
      </c>
      <c r="D34" s="867">
        <f>F34/E34</f>
        <v>1054.7440273037544</v>
      </c>
      <c r="E34" s="869">
        <v>0.293</v>
      </c>
      <c r="F34" s="892">
        <v>309.04</v>
      </c>
      <c r="G34" s="896"/>
      <c r="H34" s="1240"/>
      <c r="I34" s="1277"/>
      <c r="J34" s="876">
        <f>F34/2</f>
        <v>154.52</v>
      </c>
      <c r="K34" s="896"/>
      <c r="L34" s="1240"/>
      <c r="M34" s="895">
        <f t="shared" si="1"/>
        <v>0.293</v>
      </c>
      <c r="N34" s="897">
        <f t="shared" si="2"/>
        <v>154.52</v>
      </c>
      <c r="O34" s="284" t="s">
        <v>2192</v>
      </c>
      <c r="P34" s="171" t="s">
        <v>2194</v>
      </c>
      <c r="Q34" s="1661"/>
      <c r="R34" s="1656"/>
      <c r="S34" s="184"/>
    </row>
    <row r="35" spans="1:19" s="1074" customFormat="1" ht="49.5" customHeight="1">
      <c r="A35" s="180" t="s">
        <v>2320</v>
      </c>
      <c r="B35" s="1180" t="s">
        <v>2317</v>
      </c>
      <c r="C35" s="1229" t="s">
        <v>2104</v>
      </c>
      <c r="D35" s="867">
        <v>287.56961</v>
      </c>
      <c r="E35" s="869">
        <f>F35/D35</f>
        <v>1.2993841734528204</v>
      </c>
      <c r="F35" s="892">
        <f>3891.392-3517.7286</f>
        <v>373.6633999999999</v>
      </c>
      <c r="G35" s="878"/>
      <c r="H35" s="1235"/>
      <c r="I35" s="984"/>
      <c r="J35" s="876"/>
      <c r="K35" s="878">
        <v>1.2993841734528204</v>
      </c>
      <c r="L35" s="1235">
        <v>373.6633999999999</v>
      </c>
      <c r="M35" s="877"/>
      <c r="N35" s="876">
        <f t="shared" si="2"/>
        <v>0</v>
      </c>
      <c r="O35" s="181" t="s">
        <v>2318</v>
      </c>
      <c r="P35" s="171" t="s">
        <v>2194</v>
      </c>
      <c r="Q35" s="1659" t="s">
        <v>2412</v>
      </c>
      <c r="R35" s="173"/>
      <c r="S35" s="184"/>
    </row>
    <row r="36" spans="1:19" s="1074" customFormat="1" ht="49.5" customHeight="1">
      <c r="A36" s="252" t="s">
        <v>2319</v>
      </c>
      <c r="B36" s="1180" t="s">
        <v>2321</v>
      </c>
      <c r="C36" s="1229" t="s">
        <v>2104</v>
      </c>
      <c r="D36" s="867">
        <v>414.49662</v>
      </c>
      <c r="E36" s="869">
        <f>F36/D36</f>
        <v>0.8523499942331657</v>
      </c>
      <c r="F36" s="892">
        <f>423.95543/1.2</f>
        <v>353.2961916666667</v>
      </c>
      <c r="G36" s="878"/>
      <c r="H36" s="1235"/>
      <c r="I36" s="984"/>
      <c r="J36" s="876"/>
      <c r="K36" s="985">
        <f aca="true" t="shared" si="3" ref="K36:L38">E36</f>
        <v>0.8523499942331657</v>
      </c>
      <c r="L36" s="1235">
        <f t="shared" si="3"/>
        <v>353.2961916666667</v>
      </c>
      <c r="M36" s="877"/>
      <c r="N36" s="876"/>
      <c r="O36" s="181" t="s">
        <v>2318</v>
      </c>
      <c r="P36" s="171"/>
      <c r="Q36" s="1660"/>
      <c r="R36" s="173"/>
      <c r="S36" s="184"/>
    </row>
    <row r="37" spans="1:19" s="1074" customFormat="1" ht="49.5" customHeight="1">
      <c r="A37" s="252" t="s">
        <v>2322</v>
      </c>
      <c r="B37" s="1180" t="s">
        <v>2324</v>
      </c>
      <c r="C37" s="1229" t="s">
        <v>2104</v>
      </c>
      <c r="D37" s="867">
        <v>345.11346</v>
      </c>
      <c r="E37" s="869">
        <f>F37/D37</f>
        <v>1.2858794612067588</v>
      </c>
      <c r="F37" s="892">
        <f>3799.3541-3355.57979</f>
        <v>443.77431000000024</v>
      </c>
      <c r="G37" s="878"/>
      <c r="H37" s="1235"/>
      <c r="I37" s="984"/>
      <c r="J37" s="876"/>
      <c r="K37" s="985">
        <f t="shared" si="3"/>
        <v>1.2858794612067588</v>
      </c>
      <c r="L37" s="1235">
        <f t="shared" si="3"/>
        <v>443.77431000000024</v>
      </c>
      <c r="M37" s="877"/>
      <c r="N37" s="876"/>
      <c r="O37" s="181" t="s">
        <v>2318</v>
      </c>
      <c r="P37" s="171"/>
      <c r="Q37" s="1660" t="s">
        <v>2413</v>
      </c>
      <c r="R37" s="173"/>
      <c r="S37" s="184"/>
    </row>
    <row r="38" spans="1:19" s="1074" customFormat="1" ht="49.5" customHeight="1">
      <c r="A38" s="252" t="s">
        <v>2323</v>
      </c>
      <c r="B38" s="1180" t="s">
        <v>2325</v>
      </c>
      <c r="C38" s="1229" t="s">
        <v>2104</v>
      </c>
      <c r="D38" s="867">
        <v>299.73144</v>
      </c>
      <c r="E38" s="869">
        <f>F38/D38</f>
        <v>0.9411962922541589</v>
      </c>
      <c r="F38" s="892">
        <f>2358.287-2076.18088</f>
        <v>282.1061199999999</v>
      </c>
      <c r="G38" s="878"/>
      <c r="H38" s="1235"/>
      <c r="I38" s="984"/>
      <c r="J38" s="876"/>
      <c r="K38" s="985">
        <f t="shared" si="3"/>
        <v>0.9411962922541589</v>
      </c>
      <c r="L38" s="1235">
        <f t="shared" si="3"/>
        <v>282.1061199999999</v>
      </c>
      <c r="M38" s="877"/>
      <c r="N38" s="876"/>
      <c r="O38" s="181" t="s">
        <v>2318</v>
      </c>
      <c r="P38" s="171"/>
      <c r="Q38" s="1661"/>
      <c r="R38" s="173"/>
      <c r="S38" s="184"/>
    </row>
    <row r="39" spans="1:25" s="52" customFormat="1" ht="15" customHeight="1">
      <c r="A39" s="190"/>
      <c r="B39" s="1174" t="s">
        <v>1587</v>
      </c>
      <c r="C39" s="1320"/>
      <c r="D39" s="881"/>
      <c r="E39" s="879"/>
      <c r="F39" s="880">
        <f>SUM(F29:F38)</f>
        <v>22017.44606093667</v>
      </c>
      <c r="G39" s="1218"/>
      <c r="H39" s="1236">
        <f>SUM(H29:H38)</f>
        <v>0</v>
      </c>
      <c r="I39" s="1276"/>
      <c r="J39" s="880">
        <f>SUM(J29:J38)</f>
        <v>771.0264999999999</v>
      </c>
      <c r="K39" s="1218"/>
      <c r="L39" s="1236">
        <f>SUM(L29:L38)</f>
        <v>10964.116541301666</v>
      </c>
      <c r="M39" s="1276"/>
      <c r="N39" s="880">
        <f>SUM(N29:N38)</f>
        <v>10282.303019635</v>
      </c>
      <c r="O39" s="178"/>
      <c r="P39" s="171"/>
      <c r="Q39" s="179"/>
      <c r="R39" s="173"/>
      <c r="S39" s="184"/>
      <c r="U39" s="105"/>
      <c r="W39" s="105"/>
      <c r="Y39" s="105"/>
    </row>
    <row r="40" spans="1:21" s="52" customFormat="1" ht="15.75" customHeight="1">
      <c r="A40" s="191"/>
      <c r="B40" s="1171" t="s">
        <v>1588</v>
      </c>
      <c r="C40" s="1312"/>
      <c r="D40" s="873"/>
      <c r="E40" s="871"/>
      <c r="F40" s="872">
        <f>F19+F23+F27+F39</f>
        <v>24238.18306093667</v>
      </c>
      <c r="G40" s="1219"/>
      <c r="H40" s="1234">
        <f aca="true" t="shared" si="4" ref="H40:N40">H19+H23+H27+H39</f>
        <v>0</v>
      </c>
      <c r="I40" s="1278"/>
      <c r="J40" s="872">
        <f t="shared" si="4"/>
        <v>771.0264999999999</v>
      </c>
      <c r="K40" s="1219"/>
      <c r="L40" s="1234">
        <f t="shared" si="4"/>
        <v>12074.485041301667</v>
      </c>
      <c r="M40" s="1278"/>
      <c r="N40" s="872">
        <f t="shared" si="4"/>
        <v>11392.671519635</v>
      </c>
      <c r="O40" s="178"/>
      <c r="P40" s="171"/>
      <c r="Q40" s="179"/>
      <c r="R40" s="173"/>
      <c r="S40" s="184"/>
      <c r="U40" s="105"/>
    </row>
    <row r="41" spans="1:25" s="52" customFormat="1" ht="30.75" customHeight="1" hidden="1">
      <c r="A41" s="168" t="s">
        <v>1982</v>
      </c>
      <c r="B41" s="1171" t="s">
        <v>1639</v>
      </c>
      <c r="C41" s="1313"/>
      <c r="D41" s="923"/>
      <c r="E41" s="875"/>
      <c r="F41" s="876"/>
      <c r="G41" s="878"/>
      <c r="H41" s="1235"/>
      <c r="I41" s="877"/>
      <c r="J41" s="876"/>
      <c r="K41" s="878"/>
      <c r="L41" s="1235"/>
      <c r="M41" s="877"/>
      <c r="N41" s="876"/>
      <c r="O41" s="178"/>
      <c r="P41" s="171"/>
      <c r="Q41" s="179"/>
      <c r="R41" s="173"/>
      <c r="S41" s="184"/>
      <c r="U41" s="105"/>
      <c r="W41" s="105"/>
      <c r="Y41" s="105"/>
    </row>
    <row r="42" spans="1:19" s="52" customFormat="1" ht="15.75" customHeight="1" hidden="1">
      <c r="A42" s="168" t="s">
        <v>2220</v>
      </c>
      <c r="B42" s="1181" t="s">
        <v>1977</v>
      </c>
      <c r="C42" s="1313"/>
      <c r="D42" s="923"/>
      <c r="E42" s="875"/>
      <c r="F42" s="876"/>
      <c r="G42" s="878"/>
      <c r="H42" s="1235"/>
      <c r="I42" s="877"/>
      <c r="J42" s="876"/>
      <c r="K42" s="878"/>
      <c r="L42" s="1235"/>
      <c r="M42" s="877"/>
      <c r="N42" s="876"/>
      <c r="O42" s="178"/>
      <c r="P42" s="171"/>
      <c r="Q42" s="179"/>
      <c r="R42" s="173"/>
      <c r="S42" s="184"/>
    </row>
    <row r="43" spans="1:19" s="52" customFormat="1" ht="21" customHeight="1" hidden="1">
      <c r="A43" s="169"/>
      <c r="B43" s="1172"/>
      <c r="C43" s="1311"/>
      <c r="D43" s="1362"/>
      <c r="E43" s="869"/>
      <c r="F43" s="865"/>
      <c r="G43" s="878"/>
      <c r="H43" s="1235"/>
      <c r="I43" s="877"/>
      <c r="J43" s="876"/>
      <c r="K43" s="878"/>
      <c r="L43" s="1235"/>
      <c r="M43" s="877"/>
      <c r="N43" s="876"/>
      <c r="O43" s="284"/>
      <c r="P43" s="171"/>
      <c r="Q43" s="179"/>
      <c r="R43" s="173"/>
      <c r="S43" s="184"/>
    </row>
    <row r="44" spans="1:19" s="52" customFormat="1" ht="15.75" customHeight="1" hidden="1">
      <c r="A44" s="163"/>
      <c r="B44" s="1171" t="s">
        <v>1640</v>
      </c>
      <c r="C44" s="1312"/>
      <c r="D44" s="873"/>
      <c r="E44" s="871"/>
      <c r="F44" s="872">
        <f>SUM(F43)</f>
        <v>0</v>
      </c>
      <c r="G44" s="874"/>
      <c r="H44" s="1234">
        <f>SUM(H43)</f>
        <v>0</v>
      </c>
      <c r="I44" s="873"/>
      <c r="J44" s="872">
        <f>SUM(J43)</f>
        <v>0</v>
      </c>
      <c r="K44" s="874"/>
      <c r="L44" s="1234">
        <f>SUM(L43)</f>
        <v>0</v>
      </c>
      <c r="M44" s="873"/>
      <c r="N44" s="872">
        <f>SUM(N43)</f>
        <v>0</v>
      </c>
      <c r="O44" s="178"/>
      <c r="P44" s="171"/>
      <c r="Q44" s="179"/>
      <c r="R44" s="173"/>
      <c r="S44" s="184"/>
    </row>
    <row r="45" spans="1:19" s="52" customFormat="1" ht="30" customHeight="1">
      <c r="A45" s="168" t="s">
        <v>1865</v>
      </c>
      <c r="B45" s="1171" t="s">
        <v>1642</v>
      </c>
      <c r="C45" s="1313"/>
      <c r="D45" s="923"/>
      <c r="E45" s="875"/>
      <c r="F45" s="876"/>
      <c r="G45" s="878"/>
      <c r="H45" s="1235"/>
      <c r="I45" s="877"/>
      <c r="J45" s="876"/>
      <c r="K45" s="878"/>
      <c r="L45" s="1235"/>
      <c r="M45" s="877"/>
      <c r="N45" s="876"/>
      <c r="O45" s="178"/>
      <c r="P45" s="171"/>
      <c r="Q45" s="179"/>
      <c r="R45" s="173"/>
      <c r="S45" s="184"/>
    </row>
    <row r="46" spans="1:19" s="52" customFormat="1" ht="18" customHeight="1">
      <c r="A46" s="168" t="s">
        <v>71</v>
      </c>
      <c r="B46" s="1181" t="s">
        <v>2103</v>
      </c>
      <c r="C46" s="1313"/>
      <c r="D46" s="923"/>
      <c r="E46" s="875"/>
      <c r="F46" s="876"/>
      <c r="G46" s="878"/>
      <c r="H46" s="1235"/>
      <c r="I46" s="877"/>
      <c r="J46" s="876"/>
      <c r="K46" s="878"/>
      <c r="L46" s="1235"/>
      <c r="M46" s="877"/>
      <c r="N46" s="876"/>
      <c r="O46" s="178"/>
      <c r="P46" s="171"/>
      <c r="Q46" s="179"/>
      <c r="R46" s="173"/>
      <c r="S46" s="184"/>
    </row>
    <row r="47" spans="1:19" s="52" customFormat="1" ht="31.5">
      <c r="A47" s="169" t="s">
        <v>2345</v>
      </c>
      <c r="B47" s="1180" t="s">
        <v>2326</v>
      </c>
      <c r="C47" s="1311" t="s">
        <v>2394</v>
      </c>
      <c r="D47" s="867">
        <v>1985</v>
      </c>
      <c r="E47" s="869">
        <f>F47/D47</f>
        <v>0.26506801007556674</v>
      </c>
      <c r="F47" s="892">
        <v>526.16</v>
      </c>
      <c r="G47" s="878"/>
      <c r="H47" s="1235"/>
      <c r="I47" s="864"/>
      <c r="J47" s="876"/>
      <c r="K47" s="878">
        <f>E47</f>
        <v>0.26506801007556674</v>
      </c>
      <c r="L47" s="1235">
        <f>F47</f>
        <v>526.16</v>
      </c>
      <c r="M47" s="877"/>
      <c r="N47" s="876"/>
      <c r="O47" s="181" t="s">
        <v>2318</v>
      </c>
      <c r="P47" s="171"/>
      <c r="Q47" s="179" t="s">
        <v>2415</v>
      </c>
      <c r="R47" s="173"/>
      <c r="S47" s="184"/>
    </row>
    <row r="48" spans="1:19" s="52" customFormat="1" ht="16.5" customHeight="1">
      <c r="A48" s="169"/>
      <c r="B48" s="1174" t="s">
        <v>2375</v>
      </c>
      <c r="C48" s="1321"/>
      <c r="D48" s="873"/>
      <c r="E48" s="871"/>
      <c r="F48" s="872">
        <f>SUM(F47)</f>
        <v>526.16</v>
      </c>
      <c r="G48" s="874"/>
      <c r="H48" s="1234">
        <f aca="true" t="shared" si="5" ref="H48:N48">SUM(H47)</f>
        <v>0</v>
      </c>
      <c r="I48" s="873"/>
      <c r="J48" s="872">
        <f t="shared" si="5"/>
        <v>0</v>
      </c>
      <c r="K48" s="874"/>
      <c r="L48" s="1234">
        <f t="shared" si="5"/>
        <v>526.16</v>
      </c>
      <c r="M48" s="873"/>
      <c r="N48" s="872">
        <f t="shared" si="5"/>
        <v>0</v>
      </c>
      <c r="O48" s="178"/>
      <c r="P48" s="171"/>
      <c r="Q48" s="179"/>
      <c r="R48" s="173"/>
      <c r="S48" s="184"/>
    </row>
    <row r="49" spans="1:19" s="52" customFormat="1" ht="15.75" customHeight="1">
      <c r="A49" s="163"/>
      <c r="B49" s="1171" t="s">
        <v>1643</v>
      </c>
      <c r="C49" s="1312"/>
      <c r="D49" s="873"/>
      <c r="E49" s="871"/>
      <c r="F49" s="872">
        <f>SUM(F48)</f>
        <v>526.16</v>
      </c>
      <c r="G49" s="874"/>
      <c r="H49" s="1234">
        <f>SUM(H48)</f>
        <v>0</v>
      </c>
      <c r="I49" s="873"/>
      <c r="J49" s="872">
        <f>SUM(J48)</f>
        <v>0</v>
      </c>
      <c r="K49" s="874"/>
      <c r="L49" s="1234">
        <f>SUM(L48)</f>
        <v>526.16</v>
      </c>
      <c r="M49" s="873"/>
      <c r="N49" s="872">
        <f>SUM(N48)</f>
        <v>0</v>
      </c>
      <c r="O49" s="178"/>
      <c r="P49" s="171"/>
      <c r="Q49" s="179"/>
      <c r="R49" s="173"/>
      <c r="S49" s="184"/>
    </row>
    <row r="50" spans="1:19" s="52" customFormat="1" ht="28.5" customHeight="1">
      <c r="A50" s="168" t="s">
        <v>824</v>
      </c>
      <c r="B50" s="1171" t="s">
        <v>175</v>
      </c>
      <c r="C50" s="1314"/>
      <c r="D50" s="923"/>
      <c r="E50" s="875"/>
      <c r="F50" s="876"/>
      <c r="G50" s="878"/>
      <c r="H50" s="1235"/>
      <c r="I50" s="877"/>
      <c r="J50" s="876"/>
      <c r="K50" s="878"/>
      <c r="L50" s="1240"/>
      <c r="M50" s="877"/>
      <c r="N50" s="876"/>
      <c r="O50" s="178"/>
      <c r="P50" s="171"/>
      <c r="Q50" s="179"/>
      <c r="R50" s="173"/>
      <c r="S50" s="184"/>
    </row>
    <row r="51" spans="1:19" s="52" customFormat="1" ht="15" customHeight="1">
      <c r="A51" s="163" t="s">
        <v>1589</v>
      </c>
      <c r="B51" s="1181" t="s">
        <v>2103</v>
      </c>
      <c r="C51" s="1322"/>
      <c r="D51" s="1365"/>
      <c r="E51" s="862"/>
      <c r="F51" s="865"/>
      <c r="G51" s="878"/>
      <c r="H51" s="1235"/>
      <c r="I51" s="877"/>
      <c r="J51" s="897"/>
      <c r="K51" s="878"/>
      <c r="L51" s="1240"/>
      <c r="M51" s="895"/>
      <c r="N51" s="876"/>
      <c r="O51" s="178"/>
      <c r="P51" s="171"/>
      <c r="Q51" s="179"/>
      <c r="R51" s="173"/>
      <c r="S51" s="184"/>
    </row>
    <row r="52" spans="1:19" s="52" customFormat="1" ht="71.25" customHeight="1">
      <c r="A52" s="192" t="s">
        <v>1590</v>
      </c>
      <c r="B52" s="1182" t="s">
        <v>2197</v>
      </c>
      <c r="C52" s="1311" t="s">
        <v>2394</v>
      </c>
      <c r="D52" s="1366">
        <f>F52/E52</f>
        <v>11090.79</v>
      </c>
      <c r="E52" s="898">
        <v>1</v>
      </c>
      <c r="F52" s="865">
        <v>11090.79</v>
      </c>
      <c r="G52" s="900"/>
      <c r="H52" s="1235"/>
      <c r="I52" s="899"/>
      <c r="J52" s="897">
        <f>6256.4*0.95</f>
        <v>5943.579999999999</v>
      </c>
      <c r="K52" s="900"/>
      <c r="L52" s="1249">
        <f>6256.4*0.05+(F52-6256.4)/2</f>
        <v>2730.015000000001</v>
      </c>
      <c r="M52" s="877">
        <f>E52</f>
        <v>1</v>
      </c>
      <c r="N52" s="897">
        <f>F52-H52-J52-L52</f>
        <v>2417.195000000001</v>
      </c>
      <c r="O52" s="181" t="s">
        <v>2268</v>
      </c>
      <c r="P52" s="193"/>
      <c r="Q52" s="1659" t="s">
        <v>2416</v>
      </c>
      <c r="R52" s="194" t="s">
        <v>2294</v>
      </c>
      <c r="S52" s="195"/>
    </row>
    <row r="53" spans="1:19" s="52" customFormat="1" ht="33" customHeight="1">
      <c r="A53" s="192" t="s">
        <v>2258</v>
      </c>
      <c r="B53" s="1183" t="s">
        <v>2237</v>
      </c>
      <c r="C53" s="1311" t="s">
        <v>2394</v>
      </c>
      <c r="D53" s="1366">
        <f>F53/E53</f>
        <v>6286.4</v>
      </c>
      <c r="E53" s="898">
        <v>1</v>
      </c>
      <c r="F53" s="865">
        <v>6286.4</v>
      </c>
      <c r="G53" s="900"/>
      <c r="H53" s="1235"/>
      <c r="I53" s="899"/>
      <c r="J53" s="897">
        <f>4416.992*0.7</f>
        <v>3091.8944</v>
      </c>
      <c r="K53" s="900"/>
      <c r="L53" s="1249">
        <f>4416.992*0.3+(F53-4416.992)/2</f>
        <v>2259.8016</v>
      </c>
      <c r="M53" s="877">
        <f>E53</f>
        <v>1</v>
      </c>
      <c r="N53" s="897">
        <f>F53-H53-J53-L53</f>
        <v>934.7039999999997</v>
      </c>
      <c r="O53" s="181" t="s">
        <v>2247</v>
      </c>
      <c r="P53" s="193"/>
      <c r="Q53" s="1661"/>
      <c r="R53" s="194" t="s">
        <v>2295</v>
      </c>
      <c r="S53" s="195"/>
    </row>
    <row r="54" spans="1:19" s="52" customFormat="1" ht="33" customHeight="1">
      <c r="A54" s="196" t="s">
        <v>2327</v>
      </c>
      <c r="B54" s="1183" t="s">
        <v>2328</v>
      </c>
      <c r="C54" s="1311" t="s">
        <v>2394</v>
      </c>
      <c r="D54" s="1129">
        <v>835.6474800000001</v>
      </c>
      <c r="E54" s="869">
        <f>F54/D54</f>
        <v>0.36087767136767607</v>
      </c>
      <c r="F54" s="865">
        <f>361.87982/1.2</f>
        <v>301.5665166666667</v>
      </c>
      <c r="G54" s="900"/>
      <c r="H54" s="1235"/>
      <c r="I54" s="899"/>
      <c r="J54" s="876"/>
      <c r="K54" s="900">
        <f>E54</f>
        <v>0.36087767136767607</v>
      </c>
      <c r="L54" s="1249">
        <v>301.57</v>
      </c>
      <c r="M54" s="877"/>
      <c r="N54" s="876"/>
      <c r="O54" s="181" t="s">
        <v>2329</v>
      </c>
      <c r="P54" s="193"/>
      <c r="Q54" s="187" t="s">
        <v>2417</v>
      </c>
      <c r="R54" s="194"/>
      <c r="S54" s="195"/>
    </row>
    <row r="55" spans="1:19" s="52" customFormat="1" ht="19.5" customHeight="1">
      <c r="A55" s="196"/>
      <c r="B55" s="1174" t="s">
        <v>1591</v>
      </c>
      <c r="C55" s="1323"/>
      <c r="D55" s="881"/>
      <c r="E55" s="879"/>
      <c r="F55" s="880">
        <f>SUM(F52:F54)</f>
        <v>17678.756516666668</v>
      </c>
      <c r="G55" s="882"/>
      <c r="H55" s="1236">
        <f>SUM(H52:H54)</f>
        <v>0</v>
      </c>
      <c r="I55" s="881"/>
      <c r="J55" s="880">
        <f>SUM(J52:J54)</f>
        <v>9035.4744</v>
      </c>
      <c r="K55" s="882"/>
      <c r="L55" s="1236">
        <f>SUM(L52:L54)</f>
        <v>5291.3866</v>
      </c>
      <c r="M55" s="881"/>
      <c r="N55" s="880">
        <f>SUM(N52:N54)</f>
        <v>3351.899000000001</v>
      </c>
      <c r="O55" s="178"/>
      <c r="P55" s="171"/>
      <c r="Q55" s="187"/>
      <c r="R55" s="173"/>
      <c r="S55" s="184"/>
    </row>
    <row r="56" spans="1:19" s="52" customFormat="1" ht="17.25" customHeight="1">
      <c r="A56" s="163" t="s">
        <v>1592</v>
      </c>
      <c r="B56" s="1181" t="s">
        <v>1777</v>
      </c>
      <c r="C56" s="1311"/>
      <c r="D56" s="1070"/>
      <c r="E56" s="898"/>
      <c r="F56" s="902"/>
      <c r="G56" s="878"/>
      <c r="H56" s="1235"/>
      <c r="I56" s="877"/>
      <c r="J56" s="897"/>
      <c r="K56" s="903"/>
      <c r="L56" s="1265"/>
      <c r="M56" s="1070"/>
      <c r="N56" s="897"/>
      <c r="O56" s="178"/>
      <c r="P56" s="171"/>
      <c r="Q56" s="187"/>
      <c r="R56" s="173"/>
      <c r="S56" s="184"/>
    </row>
    <row r="57" spans="1:19" s="52" customFormat="1" ht="54.75" customHeight="1">
      <c r="A57" s="192" t="s">
        <v>2239</v>
      </c>
      <c r="B57" s="1177" t="s">
        <v>2238</v>
      </c>
      <c r="C57" s="1311" t="s">
        <v>2394</v>
      </c>
      <c r="D57" s="1070">
        <f>F57*E57</f>
        <v>4368.75</v>
      </c>
      <c r="E57" s="898">
        <v>1</v>
      </c>
      <c r="F57" s="902">
        <v>4368.75</v>
      </c>
      <c r="G57" s="878"/>
      <c r="H57" s="1235"/>
      <c r="I57" s="877"/>
      <c r="J57" s="897">
        <f>3473.1728</f>
        <v>3473.1728</v>
      </c>
      <c r="K57" s="903"/>
      <c r="L57" s="1265"/>
      <c r="M57" s="1070">
        <f>E57</f>
        <v>1</v>
      </c>
      <c r="N57" s="897">
        <f>F57-H57-J57-L57</f>
        <v>895.5772000000002</v>
      </c>
      <c r="O57" s="181" t="s">
        <v>2269</v>
      </c>
      <c r="P57" s="197" t="s">
        <v>2194</v>
      </c>
      <c r="Q57" s="1659" t="s">
        <v>2418</v>
      </c>
      <c r="R57" s="173" t="s">
        <v>2296</v>
      </c>
      <c r="S57" s="184"/>
    </row>
    <row r="58" spans="1:19" s="52" customFormat="1" ht="72" customHeight="1">
      <c r="A58" s="192" t="s">
        <v>2330</v>
      </c>
      <c r="B58" s="1177" t="s">
        <v>2331</v>
      </c>
      <c r="C58" s="1311" t="s">
        <v>2394</v>
      </c>
      <c r="D58" s="864">
        <f>F58/E58</f>
        <v>4944.05</v>
      </c>
      <c r="E58" s="869">
        <v>1</v>
      </c>
      <c r="F58" s="865">
        <v>4944.05</v>
      </c>
      <c r="G58" s="878"/>
      <c r="H58" s="1235"/>
      <c r="I58" s="877"/>
      <c r="J58" s="876"/>
      <c r="K58" s="866">
        <f>E58/2</f>
        <v>0.5</v>
      </c>
      <c r="L58" s="1153">
        <f>F58/2</f>
        <v>2472.025</v>
      </c>
      <c r="M58" s="864">
        <f>E58-K58</f>
        <v>0.5</v>
      </c>
      <c r="N58" s="876">
        <f>F58-L58</f>
        <v>2472.025</v>
      </c>
      <c r="O58" s="181" t="s">
        <v>2318</v>
      </c>
      <c r="P58" s="197" t="s">
        <v>2194</v>
      </c>
      <c r="Q58" s="1660"/>
      <c r="R58" s="173"/>
      <c r="S58" s="184" t="s">
        <v>2429</v>
      </c>
    </row>
    <row r="59" spans="1:19" s="52" customFormat="1" ht="54.75" customHeight="1">
      <c r="A59" s="192" t="s">
        <v>2346</v>
      </c>
      <c r="B59" s="1177" t="s">
        <v>2347</v>
      </c>
      <c r="C59" s="1311" t="s">
        <v>2394</v>
      </c>
      <c r="D59" s="864">
        <v>526.3</v>
      </c>
      <c r="E59" s="869">
        <f>F59/D59</f>
        <v>1</v>
      </c>
      <c r="F59" s="865">
        <v>526.3</v>
      </c>
      <c r="G59" s="878"/>
      <c r="H59" s="1235"/>
      <c r="I59" s="877"/>
      <c r="J59" s="876"/>
      <c r="K59" s="866"/>
      <c r="L59" s="1153"/>
      <c r="M59" s="864">
        <f>E59</f>
        <v>1</v>
      </c>
      <c r="N59" s="876">
        <f>F59</f>
        <v>526.3</v>
      </c>
      <c r="O59" s="181" t="s">
        <v>2318</v>
      </c>
      <c r="P59" s="197" t="s">
        <v>2194</v>
      </c>
      <c r="Q59" s="186" t="s">
        <v>2419</v>
      </c>
      <c r="R59" s="173"/>
      <c r="S59" s="184" t="s">
        <v>2429</v>
      </c>
    </row>
    <row r="60" spans="1:19" s="52" customFormat="1" ht="15.75" customHeight="1">
      <c r="A60" s="851"/>
      <c r="B60" s="1174" t="s">
        <v>1593</v>
      </c>
      <c r="C60" s="1323"/>
      <c r="D60" s="881"/>
      <c r="E60" s="879"/>
      <c r="F60" s="880">
        <f>SUM(F57:F59)</f>
        <v>9839.099999999999</v>
      </c>
      <c r="G60" s="882"/>
      <c r="H60" s="1236">
        <f>SUM(H57:H59)</f>
        <v>0</v>
      </c>
      <c r="I60" s="881"/>
      <c r="J60" s="880">
        <f>SUM(J57:J59)</f>
        <v>3473.1728</v>
      </c>
      <c r="K60" s="882"/>
      <c r="L60" s="1236">
        <f>SUM(L57:L59)</f>
        <v>2472.025</v>
      </c>
      <c r="M60" s="881"/>
      <c r="N60" s="880">
        <f>SUM(N57:N59)</f>
        <v>3893.9022000000004</v>
      </c>
      <c r="O60" s="178"/>
      <c r="P60" s="171"/>
      <c r="Q60" s="179"/>
      <c r="R60" s="173"/>
      <c r="S60" s="184"/>
    </row>
    <row r="61" spans="1:19" s="52" customFormat="1" ht="17.25" customHeight="1">
      <c r="A61" s="183"/>
      <c r="B61" s="1184" t="s">
        <v>1594</v>
      </c>
      <c r="C61" s="1324"/>
      <c r="D61" s="1367"/>
      <c r="E61" s="1148"/>
      <c r="F61" s="1016">
        <f>F55+F60</f>
        <v>27517.856516666667</v>
      </c>
      <c r="G61" s="1149"/>
      <c r="H61" s="1241">
        <f>H55+H60</f>
        <v>0</v>
      </c>
      <c r="I61" s="1150"/>
      <c r="J61" s="1016">
        <f>J55+J60</f>
        <v>12508.6472</v>
      </c>
      <c r="K61" s="1149"/>
      <c r="L61" s="1241">
        <f>L55+L60</f>
        <v>7763.411599999999</v>
      </c>
      <c r="M61" s="1150"/>
      <c r="N61" s="1016">
        <f>N55+N60</f>
        <v>7245.801200000002</v>
      </c>
      <c r="O61" s="178"/>
      <c r="P61" s="171"/>
      <c r="Q61" s="173"/>
      <c r="R61" s="173"/>
      <c r="S61" s="184"/>
    </row>
    <row r="62" spans="1:19" s="52" customFormat="1" ht="15.75" customHeight="1" thickBot="1">
      <c r="A62" s="1151"/>
      <c r="B62" s="1185" t="s">
        <v>1595</v>
      </c>
      <c r="C62" s="1325"/>
      <c r="D62" s="1368"/>
      <c r="E62" s="1152"/>
      <c r="F62" s="978">
        <f>F16+F40+F44+F49+F61</f>
        <v>52282.19957760334</v>
      </c>
      <c r="G62" s="1220"/>
      <c r="H62" s="1242">
        <f aca="true" t="shared" si="6" ref="H62:N62">H16+H40+H44+H49+H61</f>
        <v>0</v>
      </c>
      <c r="I62" s="1279"/>
      <c r="J62" s="978">
        <f t="shared" si="6"/>
        <v>13279.6737</v>
      </c>
      <c r="K62" s="1220"/>
      <c r="L62" s="1242">
        <f t="shared" si="6"/>
        <v>20364.056641301664</v>
      </c>
      <c r="M62" s="1279"/>
      <c r="N62" s="978">
        <f t="shared" si="6"/>
        <v>18638.472719635</v>
      </c>
      <c r="O62" s="178"/>
      <c r="P62" s="171"/>
      <c r="Q62" s="173"/>
      <c r="R62" s="173"/>
      <c r="S62" s="184"/>
    </row>
    <row r="63" spans="1:19" s="52" customFormat="1" ht="20.25" customHeight="1">
      <c r="A63" s="163" t="s">
        <v>1875</v>
      </c>
      <c r="B63" s="1185" t="s">
        <v>2088</v>
      </c>
      <c r="C63" s="1322"/>
      <c r="D63" s="1362"/>
      <c r="E63" s="862"/>
      <c r="F63" s="865"/>
      <c r="G63" s="1068"/>
      <c r="H63" s="1243"/>
      <c r="I63" s="1066"/>
      <c r="J63" s="1067"/>
      <c r="K63" s="1068"/>
      <c r="L63" s="1243"/>
      <c r="M63" s="1066"/>
      <c r="N63" s="1067"/>
      <c r="O63" s="178"/>
      <c r="P63" s="171"/>
      <c r="Q63" s="179"/>
      <c r="R63" s="173"/>
      <c r="S63" s="184"/>
    </row>
    <row r="64" spans="1:19" s="52" customFormat="1" ht="20.25" customHeight="1">
      <c r="A64" s="1404"/>
      <c r="B64" s="1185" t="s">
        <v>2396</v>
      </c>
      <c r="C64" s="1405"/>
      <c r="D64" s="1362"/>
      <c r="E64" s="1406"/>
      <c r="F64" s="1133"/>
      <c r="G64" s="1407"/>
      <c r="H64" s="1408"/>
      <c r="I64" s="1409"/>
      <c r="J64" s="1410"/>
      <c r="K64" s="1407"/>
      <c r="L64" s="1408"/>
      <c r="M64" s="1409"/>
      <c r="N64" s="1410"/>
      <c r="O64" s="178"/>
      <c r="P64" s="171"/>
      <c r="Q64" s="189"/>
      <c r="R64" s="173"/>
      <c r="S64" s="184"/>
    </row>
    <row r="65" spans="1:19" s="53" customFormat="1" ht="32.25" customHeight="1">
      <c r="A65" s="1130" t="s">
        <v>2110</v>
      </c>
      <c r="B65" s="1172" t="s">
        <v>2332</v>
      </c>
      <c r="C65" s="1299" t="s">
        <v>471</v>
      </c>
      <c r="D65" s="864">
        <v>182.73003</v>
      </c>
      <c r="E65" s="1131">
        <f>F65/D65</f>
        <v>0.21818480884979152</v>
      </c>
      <c r="F65" s="1133">
        <f>47.8427/1.2</f>
        <v>39.86891666666667</v>
      </c>
      <c r="G65" s="913"/>
      <c r="H65" s="1132"/>
      <c r="I65" s="912"/>
      <c r="J65" s="1133"/>
      <c r="K65" s="913">
        <v>0.21818480884979152</v>
      </c>
      <c r="L65" s="1132">
        <v>39.86891666666667</v>
      </c>
      <c r="M65" s="912"/>
      <c r="N65" s="1133"/>
      <c r="O65" s="181" t="s">
        <v>2343</v>
      </c>
      <c r="P65" s="171"/>
      <c r="Q65" s="1659" t="s">
        <v>2419</v>
      </c>
      <c r="R65" s="179"/>
      <c r="S65" s="198"/>
    </row>
    <row r="66" spans="1:19" s="53" customFormat="1" ht="32.25" customHeight="1">
      <c r="A66" s="1130" t="s">
        <v>1725</v>
      </c>
      <c r="B66" s="1172" t="s">
        <v>2333</v>
      </c>
      <c r="C66" s="1299" t="s">
        <v>471</v>
      </c>
      <c r="D66" s="864">
        <v>182.73002</v>
      </c>
      <c r="E66" s="1131">
        <f aca="true" t="shared" si="7" ref="E66:E74">F66/D66</f>
        <v>0.218184775185453</v>
      </c>
      <c r="F66" s="1133">
        <f>47.84269/1.2</f>
        <v>39.86890833333333</v>
      </c>
      <c r="G66" s="913"/>
      <c r="H66" s="1132"/>
      <c r="I66" s="912"/>
      <c r="J66" s="1133"/>
      <c r="K66" s="913">
        <v>0.218184775185453</v>
      </c>
      <c r="L66" s="1132">
        <v>39.86890833333333</v>
      </c>
      <c r="M66" s="912"/>
      <c r="N66" s="1133"/>
      <c r="O66" s="181" t="s">
        <v>2343</v>
      </c>
      <c r="P66" s="171"/>
      <c r="Q66" s="1660"/>
      <c r="R66" s="179"/>
      <c r="S66" s="198"/>
    </row>
    <row r="67" spans="1:19" s="53" customFormat="1" ht="32.25" customHeight="1">
      <c r="A67" s="1130" t="s">
        <v>2111</v>
      </c>
      <c r="B67" s="1172" t="s">
        <v>2334</v>
      </c>
      <c r="C67" s="1299" t="s">
        <v>471</v>
      </c>
      <c r="D67" s="864">
        <v>338.40002</v>
      </c>
      <c r="E67" s="1131">
        <f t="shared" si="7"/>
        <v>0.1521318862018192</v>
      </c>
      <c r="F67" s="1133">
        <f>61.77772/1.2</f>
        <v>51.481433333333335</v>
      </c>
      <c r="G67" s="913"/>
      <c r="H67" s="1132"/>
      <c r="I67" s="912"/>
      <c r="J67" s="1133"/>
      <c r="K67" s="913">
        <v>0.1521318862018192</v>
      </c>
      <c r="L67" s="1132">
        <v>51.481433333333335</v>
      </c>
      <c r="M67" s="912"/>
      <c r="N67" s="1133"/>
      <c r="O67" s="181" t="s">
        <v>2343</v>
      </c>
      <c r="P67" s="171"/>
      <c r="Q67" s="1660"/>
      <c r="R67" s="179"/>
      <c r="S67" s="198"/>
    </row>
    <row r="68" spans="1:19" s="53" customFormat="1" ht="32.25" customHeight="1">
      <c r="A68" s="1130" t="s">
        <v>2112</v>
      </c>
      <c r="B68" s="1172" t="s">
        <v>2335</v>
      </c>
      <c r="C68" s="1299" t="s">
        <v>471</v>
      </c>
      <c r="D68" s="864">
        <v>366.5100000000001</v>
      </c>
      <c r="E68" s="1131">
        <f t="shared" si="7"/>
        <v>0.16862338908442692</v>
      </c>
      <c r="F68" s="1133">
        <f>74.16259/1.2</f>
        <v>61.80215833333333</v>
      </c>
      <c r="G68" s="913"/>
      <c r="H68" s="1132"/>
      <c r="I68" s="912"/>
      <c r="J68" s="1133"/>
      <c r="K68" s="913">
        <v>0.16862338908442692</v>
      </c>
      <c r="L68" s="1132">
        <v>61.80215833333333</v>
      </c>
      <c r="M68" s="912"/>
      <c r="N68" s="1133"/>
      <c r="O68" s="181" t="s">
        <v>2343</v>
      </c>
      <c r="P68" s="171"/>
      <c r="Q68" s="1660"/>
      <c r="R68" s="179"/>
      <c r="S68" s="198"/>
    </row>
    <row r="69" spans="1:19" s="53" customFormat="1" ht="32.25" customHeight="1">
      <c r="A69" s="1130" t="s">
        <v>2397</v>
      </c>
      <c r="B69" s="1172" t="s">
        <v>2336</v>
      </c>
      <c r="C69" s="1299" t="s">
        <v>471</v>
      </c>
      <c r="D69" s="864">
        <v>362.00998</v>
      </c>
      <c r="E69" s="1131">
        <f t="shared" si="7"/>
        <v>0.16007238253486827</v>
      </c>
      <c r="F69" s="1133">
        <f>69.53736/1.2</f>
        <v>57.94780000000001</v>
      </c>
      <c r="G69" s="913"/>
      <c r="H69" s="1132"/>
      <c r="I69" s="912"/>
      <c r="J69" s="1133"/>
      <c r="K69" s="913">
        <v>0.16007238253486827</v>
      </c>
      <c r="L69" s="1132">
        <v>57.94780000000001</v>
      </c>
      <c r="M69" s="912"/>
      <c r="N69" s="1133"/>
      <c r="O69" s="181" t="s">
        <v>2343</v>
      </c>
      <c r="P69" s="171"/>
      <c r="Q69" s="1660"/>
      <c r="R69" s="179"/>
      <c r="S69" s="198"/>
    </row>
    <row r="70" spans="1:19" s="53" customFormat="1" ht="32.25" customHeight="1">
      <c r="A70" s="1130" t="s">
        <v>2398</v>
      </c>
      <c r="B70" s="1172" t="s">
        <v>2337</v>
      </c>
      <c r="C70" s="1299" t="s">
        <v>471</v>
      </c>
      <c r="D70" s="864">
        <v>182.72996</v>
      </c>
      <c r="E70" s="1131">
        <f t="shared" si="7"/>
        <v>0.21818480122252532</v>
      </c>
      <c r="F70" s="1133">
        <f>47.84268/1.2</f>
        <v>39.868900000000004</v>
      </c>
      <c r="G70" s="913"/>
      <c r="H70" s="1132"/>
      <c r="I70" s="912"/>
      <c r="J70" s="1133"/>
      <c r="K70" s="913">
        <v>0.21818480122252532</v>
      </c>
      <c r="L70" s="1132">
        <v>39.868900000000004</v>
      </c>
      <c r="M70" s="912"/>
      <c r="N70" s="1133"/>
      <c r="O70" s="181" t="s">
        <v>2343</v>
      </c>
      <c r="P70" s="171"/>
      <c r="Q70" s="1660"/>
      <c r="R70" s="179"/>
      <c r="S70" s="198"/>
    </row>
    <row r="71" spans="1:19" s="53" customFormat="1" ht="32.25" customHeight="1">
      <c r="A71" s="1130" t="s">
        <v>2399</v>
      </c>
      <c r="B71" s="1172" t="s">
        <v>2338</v>
      </c>
      <c r="C71" s="1299" t="s">
        <v>471</v>
      </c>
      <c r="D71" s="864">
        <v>304.26003</v>
      </c>
      <c r="E71" s="1131">
        <f t="shared" si="7"/>
        <v>0.18531270768625113</v>
      </c>
      <c r="F71" s="1133">
        <f>67.6599/1.2</f>
        <v>56.38325</v>
      </c>
      <c r="G71" s="913"/>
      <c r="H71" s="1132"/>
      <c r="I71" s="912"/>
      <c r="J71" s="1133"/>
      <c r="K71" s="913">
        <v>0.18531270768625113</v>
      </c>
      <c r="L71" s="1132">
        <v>56.38325</v>
      </c>
      <c r="M71" s="912"/>
      <c r="N71" s="1133"/>
      <c r="O71" s="181" t="s">
        <v>2343</v>
      </c>
      <c r="P71" s="171"/>
      <c r="Q71" s="1660"/>
      <c r="R71" s="179"/>
      <c r="S71" s="198"/>
    </row>
    <row r="72" spans="1:19" s="53" customFormat="1" ht="32.25" customHeight="1">
      <c r="A72" s="1130" t="s">
        <v>2400</v>
      </c>
      <c r="B72" s="1172" t="s">
        <v>2339</v>
      </c>
      <c r="C72" s="1299" t="s">
        <v>471</v>
      </c>
      <c r="D72" s="864">
        <v>273.20832</v>
      </c>
      <c r="E72" s="1131">
        <f t="shared" si="7"/>
        <v>0.14464359406526614</v>
      </c>
      <c r="F72" s="1133">
        <f>47.4214/1.2</f>
        <v>39.517833333333336</v>
      </c>
      <c r="G72" s="913"/>
      <c r="H72" s="1132"/>
      <c r="I72" s="912"/>
      <c r="J72" s="1133"/>
      <c r="K72" s="913">
        <v>0.14464359406526614</v>
      </c>
      <c r="L72" s="1132">
        <v>39.517833333333336</v>
      </c>
      <c r="M72" s="912"/>
      <c r="N72" s="1133"/>
      <c r="O72" s="181" t="s">
        <v>2343</v>
      </c>
      <c r="P72" s="171"/>
      <c r="Q72" s="1660"/>
      <c r="R72" s="179"/>
      <c r="S72" s="198"/>
    </row>
    <row r="73" spans="1:19" s="53" customFormat="1" ht="32.25" customHeight="1">
      <c r="A73" s="1130" t="s">
        <v>2401</v>
      </c>
      <c r="B73" s="1172" t="s">
        <v>2340</v>
      </c>
      <c r="C73" s="1299" t="s">
        <v>471</v>
      </c>
      <c r="D73" s="864">
        <v>25.000000000000004</v>
      </c>
      <c r="E73" s="1131">
        <f t="shared" si="7"/>
        <v>0.9720667999999999</v>
      </c>
      <c r="F73" s="865">
        <f>251.1/1.2-184.94833</f>
        <v>24.30167</v>
      </c>
      <c r="G73" s="913"/>
      <c r="H73" s="1132"/>
      <c r="I73" s="912"/>
      <c r="J73" s="1133"/>
      <c r="K73" s="913">
        <v>0.9720667999999999</v>
      </c>
      <c r="L73" s="1132">
        <v>24.30167</v>
      </c>
      <c r="M73" s="912"/>
      <c r="N73" s="1133"/>
      <c r="O73" s="181" t="s">
        <v>2343</v>
      </c>
      <c r="P73" s="171"/>
      <c r="Q73" s="1660"/>
      <c r="R73" s="179"/>
      <c r="S73" s="198"/>
    </row>
    <row r="74" spans="1:19" s="53" customFormat="1" ht="32.25" customHeight="1">
      <c r="A74" s="1130" t="s">
        <v>2402</v>
      </c>
      <c r="B74" s="1172" t="s">
        <v>2341</v>
      </c>
      <c r="C74" s="1299" t="s">
        <v>471</v>
      </c>
      <c r="D74" s="864">
        <v>25</v>
      </c>
      <c r="E74" s="1131">
        <f t="shared" si="7"/>
        <v>1.1206331333333333</v>
      </c>
      <c r="F74" s="865">
        <f>477.00001/1.2-369.48418</f>
        <v>28.01582833333333</v>
      </c>
      <c r="G74" s="913"/>
      <c r="H74" s="1132"/>
      <c r="I74" s="912"/>
      <c r="J74" s="1133"/>
      <c r="K74" s="913">
        <v>1.1206331333333333</v>
      </c>
      <c r="L74" s="1132">
        <v>28.01582833333333</v>
      </c>
      <c r="M74" s="912"/>
      <c r="N74" s="1133"/>
      <c r="O74" s="181" t="s">
        <v>2343</v>
      </c>
      <c r="P74" s="171"/>
      <c r="Q74" s="1660"/>
      <c r="R74" s="179"/>
      <c r="S74" s="198"/>
    </row>
    <row r="75" spans="1:19" s="53" customFormat="1" ht="32.25" customHeight="1" thickBot="1">
      <c r="A75" s="1130" t="s">
        <v>2403</v>
      </c>
      <c r="B75" s="1172" t="s">
        <v>2342</v>
      </c>
      <c r="C75" s="1299" t="s">
        <v>471</v>
      </c>
      <c r="D75" s="1134"/>
      <c r="E75" s="1131"/>
      <c r="F75" s="1133">
        <f>627.199-155.45834</f>
        <v>471.74065999999993</v>
      </c>
      <c r="G75" s="1034"/>
      <c r="H75" s="1244"/>
      <c r="I75" s="912"/>
      <c r="J75" s="1133"/>
      <c r="K75" s="1034"/>
      <c r="L75" s="1244">
        <f>F75</f>
        <v>471.74065999999993</v>
      </c>
      <c r="M75" s="1033"/>
      <c r="N75" s="1032"/>
      <c r="O75" s="181" t="s">
        <v>2318</v>
      </c>
      <c r="P75" s="171"/>
      <c r="Q75" s="1661"/>
      <c r="R75" s="179"/>
      <c r="S75" s="198"/>
    </row>
    <row r="76" spans="1:19" s="52" customFormat="1" ht="16.5" customHeight="1" thickBot="1">
      <c r="A76" s="1135"/>
      <c r="B76" s="1186" t="s">
        <v>1596</v>
      </c>
      <c r="C76" s="1227"/>
      <c r="D76" s="1136"/>
      <c r="E76" s="1137"/>
      <c r="F76" s="1138">
        <f>SUM(F65:F75)</f>
        <v>910.7973583333332</v>
      </c>
      <c r="G76" s="1221"/>
      <c r="H76" s="1245">
        <f>SUM(H65:H75)</f>
        <v>0</v>
      </c>
      <c r="I76" s="1280"/>
      <c r="J76" s="1138">
        <f>SUM(J65:J75)</f>
        <v>0</v>
      </c>
      <c r="K76" s="1221"/>
      <c r="L76" s="1245">
        <f>SUM(L65:L75)</f>
        <v>910.7973583333332</v>
      </c>
      <c r="M76" s="1280"/>
      <c r="N76" s="1138">
        <f>SUM(N65:N75)</f>
        <v>0</v>
      </c>
      <c r="O76" s="178"/>
      <c r="P76" s="171"/>
      <c r="Q76" s="179"/>
      <c r="R76" s="173"/>
      <c r="S76" s="184"/>
    </row>
    <row r="77" spans="1:23" s="52" customFormat="1" ht="18" customHeight="1" thickBot="1">
      <c r="A77" s="1139" t="s">
        <v>1631</v>
      </c>
      <c r="B77" s="1187"/>
      <c r="C77" s="1326"/>
      <c r="D77" s="1077"/>
      <c r="E77" s="1075"/>
      <c r="F77" s="1076">
        <f>F62+F76</f>
        <v>53192.996935936666</v>
      </c>
      <c r="G77" s="1222"/>
      <c r="H77" s="1246">
        <f aca="true" t="shared" si="8" ref="H77:N77">H62+H76</f>
        <v>0</v>
      </c>
      <c r="I77" s="1281"/>
      <c r="J77" s="1076">
        <f t="shared" si="8"/>
        <v>13279.6737</v>
      </c>
      <c r="K77" s="1222"/>
      <c r="L77" s="1246">
        <f t="shared" si="8"/>
        <v>21274.853999634997</v>
      </c>
      <c r="M77" s="1281"/>
      <c r="N77" s="1076">
        <f t="shared" si="8"/>
        <v>18638.472719635</v>
      </c>
      <c r="O77" s="178"/>
      <c r="P77" s="171"/>
      <c r="Q77" s="173"/>
      <c r="R77" s="173"/>
      <c r="S77" s="184"/>
      <c r="U77" s="106"/>
      <c r="W77" s="105"/>
    </row>
    <row r="78" spans="1:19" s="52" customFormat="1" ht="21" customHeight="1">
      <c r="A78" s="1692" t="s">
        <v>1597</v>
      </c>
      <c r="B78" s="1693"/>
      <c r="C78" s="1327"/>
      <c r="D78" s="1369"/>
      <c r="E78" s="904"/>
      <c r="F78" s="905"/>
      <c r="G78" s="908"/>
      <c r="H78" s="1247"/>
      <c r="I78" s="906"/>
      <c r="J78" s="907"/>
      <c r="K78" s="908"/>
      <c r="L78" s="1247"/>
      <c r="M78" s="906"/>
      <c r="N78" s="907"/>
      <c r="O78" s="199"/>
      <c r="P78" s="200"/>
      <c r="Q78" s="201"/>
      <c r="R78" s="176"/>
      <c r="S78" s="202"/>
    </row>
    <row r="79" spans="1:23" s="52" customFormat="1" ht="21" customHeight="1">
      <c r="A79" s="1154" t="s">
        <v>1878</v>
      </c>
      <c r="B79" s="1185" t="s">
        <v>176</v>
      </c>
      <c r="C79" s="1328"/>
      <c r="D79" s="1362"/>
      <c r="E79" s="861"/>
      <c r="F79" s="909"/>
      <c r="G79" s="878"/>
      <c r="H79" s="1235"/>
      <c r="I79" s="877"/>
      <c r="J79" s="876"/>
      <c r="K79" s="878"/>
      <c r="L79" s="1235"/>
      <c r="M79" s="877"/>
      <c r="N79" s="876"/>
      <c r="O79" s="178"/>
      <c r="P79" s="171"/>
      <c r="Q79" s="179"/>
      <c r="R79" s="173"/>
      <c r="S79" s="184"/>
      <c r="V79" s="105"/>
      <c r="W79" s="105"/>
    </row>
    <row r="80" spans="1:23" s="52" customFormat="1" ht="21" customHeight="1">
      <c r="A80" s="168" t="s">
        <v>1879</v>
      </c>
      <c r="B80" s="1171" t="s">
        <v>1644</v>
      </c>
      <c r="C80" s="1328"/>
      <c r="D80" s="1362"/>
      <c r="E80" s="861"/>
      <c r="F80" s="909"/>
      <c r="G80" s="878"/>
      <c r="H80" s="1235"/>
      <c r="I80" s="877"/>
      <c r="J80" s="876"/>
      <c r="K80" s="878"/>
      <c r="L80" s="1235"/>
      <c r="M80" s="877"/>
      <c r="N80" s="876"/>
      <c r="O80" s="178"/>
      <c r="P80" s="171"/>
      <c r="Q80" s="179"/>
      <c r="R80" s="173"/>
      <c r="S80" s="184"/>
      <c r="V80" s="105"/>
      <c r="W80" s="105"/>
    </row>
    <row r="81" spans="1:23" s="52" customFormat="1" ht="32.25" customHeight="1">
      <c r="A81" s="169" t="s">
        <v>1671</v>
      </c>
      <c r="B81" s="1188" t="s">
        <v>2221</v>
      </c>
      <c r="C81" s="1229" t="s">
        <v>1913</v>
      </c>
      <c r="D81" s="1297"/>
      <c r="E81" s="910"/>
      <c r="F81" s="911">
        <v>40.77449</v>
      </c>
      <c r="G81" s="913"/>
      <c r="H81" s="1235"/>
      <c r="I81" s="912"/>
      <c r="J81" s="914">
        <f>F81</f>
        <v>40.77449</v>
      </c>
      <c r="K81" s="913"/>
      <c r="L81" s="1248"/>
      <c r="M81" s="1297"/>
      <c r="N81" s="911"/>
      <c r="O81" s="181" t="s">
        <v>2193</v>
      </c>
      <c r="P81" s="197"/>
      <c r="Q81" s="1659" t="s">
        <v>2420</v>
      </c>
      <c r="R81" s="203" t="s">
        <v>2297</v>
      </c>
      <c r="S81" s="204"/>
      <c r="V81" s="105"/>
      <c r="W81" s="105"/>
    </row>
    <row r="82" spans="1:23" s="52" customFormat="1" ht="32.25" customHeight="1">
      <c r="A82" s="169" t="s">
        <v>2250</v>
      </c>
      <c r="B82" s="1188" t="s">
        <v>2251</v>
      </c>
      <c r="C82" s="1229" t="s">
        <v>1913</v>
      </c>
      <c r="D82" s="1297"/>
      <c r="E82" s="910"/>
      <c r="F82" s="911">
        <v>133.131</v>
      </c>
      <c r="G82" s="913"/>
      <c r="H82" s="1248"/>
      <c r="I82" s="912"/>
      <c r="J82" s="914">
        <f>F82</f>
        <v>133.131</v>
      </c>
      <c r="K82" s="913"/>
      <c r="L82" s="1248"/>
      <c r="M82" s="1297"/>
      <c r="N82" s="911"/>
      <c r="O82" s="284" t="s">
        <v>2193</v>
      </c>
      <c r="P82" s="197"/>
      <c r="Q82" s="1661"/>
      <c r="R82" s="203" t="s">
        <v>2298</v>
      </c>
      <c r="S82" s="204"/>
      <c r="V82" s="105"/>
      <c r="W82" s="105"/>
    </row>
    <row r="83" spans="1:23" s="52" customFormat="1" ht="21" customHeight="1">
      <c r="A83" s="852"/>
      <c r="B83" s="1171" t="s">
        <v>1645</v>
      </c>
      <c r="C83" s="1329"/>
      <c r="D83" s="916"/>
      <c r="E83" s="915"/>
      <c r="F83" s="872">
        <f>SUM(F81:F82)</f>
        <v>173.90549</v>
      </c>
      <c r="G83" s="917"/>
      <c r="H83" s="1234">
        <f>SUM(H81:H82)</f>
        <v>0</v>
      </c>
      <c r="I83" s="916"/>
      <c r="J83" s="872">
        <f>SUM(J81:J82)</f>
        <v>173.90549</v>
      </c>
      <c r="K83" s="917"/>
      <c r="L83" s="1234">
        <f>SUM(L81:L82)</f>
        <v>0</v>
      </c>
      <c r="M83" s="916"/>
      <c r="N83" s="872">
        <f>SUM(N81:N82)</f>
        <v>0</v>
      </c>
      <c r="O83" s="178"/>
      <c r="P83" s="171"/>
      <c r="Q83" s="179"/>
      <c r="R83" s="173"/>
      <c r="S83" s="184"/>
      <c r="V83" s="105"/>
      <c r="W83" s="105"/>
    </row>
    <row r="84" spans="1:23" s="52" customFormat="1" ht="32.25" customHeight="1" hidden="1">
      <c r="A84" s="205" t="s">
        <v>1646</v>
      </c>
      <c r="B84" s="1189" t="s">
        <v>1647</v>
      </c>
      <c r="C84" s="1330"/>
      <c r="D84" s="1370"/>
      <c r="E84" s="918"/>
      <c r="F84" s="919">
        <v>0</v>
      </c>
      <c r="G84" s="900"/>
      <c r="H84" s="1249"/>
      <c r="I84" s="899"/>
      <c r="J84" s="901"/>
      <c r="K84" s="900"/>
      <c r="L84" s="1249"/>
      <c r="M84" s="899"/>
      <c r="N84" s="901"/>
      <c r="O84" s="206"/>
      <c r="P84" s="193"/>
      <c r="Q84" s="187"/>
      <c r="R84" s="194"/>
      <c r="S84" s="195"/>
      <c r="V84" s="105"/>
      <c r="W84" s="105"/>
    </row>
    <row r="85" spans="1:23" s="52" customFormat="1" ht="21" customHeight="1" hidden="1">
      <c r="A85" s="852"/>
      <c r="B85" s="1171" t="s">
        <v>1648</v>
      </c>
      <c r="C85" s="1329"/>
      <c r="D85" s="916"/>
      <c r="E85" s="915"/>
      <c r="F85" s="872">
        <f>SUM(F84)</f>
        <v>0</v>
      </c>
      <c r="G85" s="917"/>
      <c r="H85" s="1234">
        <f>SUM(H84)</f>
        <v>0</v>
      </c>
      <c r="I85" s="916"/>
      <c r="J85" s="872">
        <f>SUM(J84)</f>
        <v>0</v>
      </c>
      <c r="K85" s="917"/>
      <c r="L85" s="1234">
        <f>SUM(L84)</f>
        <v>0</v>
      </c>
      <c r="M85" s="916"/>
      <c r="N85" s="872">
        <f>SUM(N84)</f>
        <v>0</v>
      </c>
      <c r="O85" s="178"/>
      <c r="P85" s="171"/>
      <c r="Q85" s="179"/>
      <c r="R85" s="173"/>
      <c r="S85" s="184"/>
      <c r="V85" s="105"/>
      <c r="W85" s="105"/>
    </row>
    <row r="86" spans="1:23" s="52" customFormat="1" ht="21" customHeight="1" hidden="1">
      <c r="A86" s="168" t="s">
        <v>1649</v>
      </c>
      <c r="B86" s="1171" t="s">
        <v>1650</v>
      </c>
      <c r="C86" s="1328"/>
      <c r="D86" s="1362"/>
      <c r="E86" s="861"/>
      <c r="F86" s="909">
        <v>0</v>
      </c>
      <c r="G86" s="878"/>
      <c r="H86" s="1235"/>
      <c r="I86" s="877"/>
      <c r="J86" s="876"/>
      <c r="K86" s="878"/>
      <c r="L86" s="1235"/>
      <c r="M86" s="877"/>
      <c r="N86" s="876"/>
      <c r="O86" s="178"/>
      <c r="P86" s="171"/>
      <c r="Q86" s="179"/>
      <c r="R86" s="173"/>
      <c r="S86" s="184"/>
      <c r="V86" s="105"/>
      <c r="W86" s="105"/>
    </row>
    <row r="87" spans="1:23" s="52" customFormat="1" ht="21" customHeight="1" hidden="1">
      <c r="A87" s="852"/>
      <c r="B87" s="1171" t="s">
        <v>1651</v>
      </c>
      <c r="C87" s="1329"/>
      <c r="D87" s="916"/>
      <c r="E87" s="915"/>
      <c r="F87" s="872">
        <f>SUM(F86)</f>
        <v>0</v>
      </c>
      <c r="G87" s="917"/>
      <c r="H87" s="1234">
        <f>SUM(H86)</f>
        <v>0</v>
      </c>
      <c r="I87" s="916"/>
      <c r="J87" s="872">
        <f>SUM(J86)</f>
        <v>0</v>
      </c>
      <c r="K87" s="917"/>
      <c r="L87" s="1234">
        <f>SUM(L86)</f>
        <v>0</v>
      </c>
      <c r="M87" s="916"/>
      <c r="N87" s="872">
        <f>SUM(N86)</f>
        <v>0</v>
      </c>
      <c r="O87" s="178"/>
      <c r="P87" s="171"/>
      <c r="Q87" s="179"/>
      <c r="R87" s="173"/>
      <c r="S87" s="184"/>
      <c r="V87" s="105"/>
      <c r="W87" s="105"/>
    </row>
    <row r="88" spans="1:19" s="52" customFormat="1" ht="33.75" customHeight="1">
      <c r="A88" s="168" t="s">
        <v>1598</v>
      </c>
      <c r="B88" s="1171" t="s">
        <v>177</v>
      </c>
      <c r="C88" s="1331"/>
      <c r="D88" s="887"/>
      <c r="E88" s="920"/>
      <c r="F88" s="921"/>
      <c r="G88" s="878"/>
      <c r="H88" s="1235"/>
      <c r="I88" s="877"/>
      <c r="J88" s="876"/>
      <c r="K88" s="878"/>
      <c r="L88" s="1235">
        <f>K88*D88</f>
        <v>0</v>
      </c>
      <c r="M88" s="877"/>
      <c r="N88" s="876"/>
      <c r="O88" s="178"/>
      <c r="P88" s="171"/>
      <c r="Q88" s="201"/>
      <c r="R88" s="173"/>
      <c r="S88" s="184"/>
    </row>
    <row r="89" spans="1:19" s="52" customFormat="1" ht="42" customHeight="1">
      <c r="A89" s="169" t="s">
        <v>1599</v>
      </c>
      <c r="B89" s="1190" t="s">
        <v>178</v>
      </c>
      <c r="C89" s="1331" t="s">
        <v>1732</v>
      </c>
      <c r="D89" s="1371">
        <v>0.18</v>
      </c>
      <c r="E89" s="920">
        <f>26535-6467+19+6473</f>
        <v>26560</v>
      </c>
      <c r="F89" s="921">
        <f>E89*D89</f>
        <v>4780.8</v>
      </c>
      <c r="G89" s="896"/>
      <c r="H89" s="1235"/>
      <c r="I89" s="923"/>
      <c r="J89" s="876"/>
      <c r="K89" s="922">
        <v>13280</v>
      </c>
      <c r="L89" s="1235">
        <f>K89*D89</f>
        <v>2390.4</v>
      </c>
      <c r="M89" s="923">
        <v>13280</v>
      </c>
      <c r="N89" s="876">
        <f>M89*D89</f>
        <v>2390.4</v>
      </c>
      <c r="O89" s="181" t="s">
        <v>2193</v>
      </c>
      <c r="P89" s="171"/>
      <c r="Q89" s="1659" t="s">
        <v>2282</v>
      </c>
      <c r="R89" s="173" t="s">
        <v>2299</v>
      </c>
      <c r="S89" s="184"/>
    </row>
    <row r="90" spans="1:19" s="52" customFormat="1" ht="42" customHeight="1" thickBot="1">
      <c r="A90" s="299" t="s">
        <v>1600</v>
      </c>
      <c r="B90" s="1191" t="s">
        <v>2202</v>
      </c>
      <c r="C90" s="1332" t="s">
        <v>1732</v>
      </c>
      <c r="D90" s="1372">
        <f>0.744/1.2</f>
        <v>0.62</v>
      </c>
      <c r="E90" s="924">
        <v>50</v>
      </c>
      <c r="F90" s="925">
        <f>D90*E90</f>
        <v>31</v>
      </c>
      <c r="G90" s="1223"/>
      <c r="H90" s="1250"/>
      <c r="I90" s="928"/>
      <c r="J90" s="926"/>
      <c r="K90" s="927">
        <v>25</v>
      </c>
      <c r="L90" s="1250">
        <f>K90*D90</f>
        <v>15.5</v>
      </c>
      <c r="M90" s="1298">
        <v>25</v>
      </c>
      <c r="N90" s="929">
        <f>M90*D90</f>
        <v>15.5</v>
      </c>
      <c r="O90" s="300" t="s">
        <v>2193</v>
      </c>
      <c r="P90" s="301"/>
      <c r="Q90" s="1660"/>
      <c r="R90" s="850" t="s">
        <v>2300</v>
      </c>
      <c r="S90" s="302"/>
    </row>
    <row r="91" spans="1:19" s="52" customFormat="1" ht="30.75" customHeight="1">
      <c r="A91" s="207" t="s">
        <v>2199</v>
      </c>
      <c r="B91" s="1192" t="s">
        <v>179</v>
      </c>
      <c r="C91" s="1333" t="s">
        <v>1732</v>
      </c>
      <c r="D91" s="1373">
        <v>0.527</v>
      </c>
      <c r="E91" s="930">
        <v>1250</v>
      </c>
      <c r="F91" s="931">
        <f>D91*E91</f>
        <v>658.75</v>
      </c>
      <c r="G91" s="1224"/>
      <c r="H91" s="1249"/>
      <c r="I91" s="933"/>
      <c r="J91" s="901"/>
      <c r="K91" s="932">
        <v>625</v>
      </c>
      <c r="L91" s="1249">
        <f>K91*D91</f>
        <v>329.375</v>
      </c>
      <c r="M91" s="933">
        <f>E91-G91-I91-K91</f>
        <v>625</v>
      </c>
      <c r="N91" s="901">
        <f>M91*D91</f>
        <v>329.375</v>
      </c>
      <c r="O91" s="185" t="s">
        <v>2193</v>
      </c>
      <c r="P91" s="193"/>
      <c r="Q91" s="1660"/>
      <c r="R91" s="1658" t="s">
        <v>2300</v>
      </c>
      <c r="S91" s="195"/>
    </row>
    <row r="92" spans="1:19" s="52" customFormat="1" ht="30.75" customHeight="1">
      <c r="A92" s="169" t="s">
        <v>2200</v>
      </c>
      <c r="B92" s="1190" t="s">
        <v>2201</v>
      </c>
      <c r="C92" s="1331" t="s">
        <v>1732</v>
      </c>
      <c r="D92" s="1371">
        <f>1.68/1.2</f>
        <v>1.4</v>
      </c>
      <c r="E92" s="920">
        <v>200</v>
      </c>
      <c r="F92" s="921">
        <f>D92*E92</f>
        <v>280</v>
      </c>
      <c r="G92" s="896"/>
      <c r="H92" s="1235"/>
      <c r="I92" s="923"/>
      <c r="J92" s="876"/>
      <c r="K92" s="922">
        <v>100</v>
      </c>
      <c r="L92" s="1235">
        <f>K92*D92</f>
        <v>140</v>
      </c>
      <c r="M92" s="923">
        <f>100</f>
        <v>100</v>
      </c>
      <c r="N92" s="876">
        <f>M92*D92</f>
        <v>140</v>
      </c>
      <c r="O92" s="287" t="s">
        <v>2193</v>
      </c>
      <c r="P92" s="171"/>
      <c r="Q92" s="1660"/>
      <c r="R92" s="1656"/>
      <c r="S92" s="184"/>
    </row>
    <row r="93" spans="1:19" s="52" customFormat="1" ht="33.75" customHeight="1">
      <c r="A93" s="169" t="s">
        <v>2344</v>
      </c>
      <c r="B93" s="1172" t="s">
        <v>178</v>
      </c>
      <c r="C93" s="1328" t="s">
        <v>1732</v>
      </c>
      <c r="D93" s="1168">
        <f>F93/E93</f>
        <v>0.1374797619047619</v>
      </c>
      <c r="E93" s="861">
        <v>7</v>
      </c>
      <c r="F93" s="909">
        <f>1.15483/1.2</f>
        <v>0.9623583333333334</v>
      </c>
      <c r="G93" s="922"/>
      <c r="H93" s="1235"/>
      <c r="I93" s="923"/>
      <c r="J93" s="876"/>
      <c r="K93" s="922">
        <f>E93</f>
        <v>7</v>
      </c>
      <c r="L93" s="1235">
        <f>F93</f>
        <v>0.9623583333333334</v>
      </c>
      <c r="M93" s="923"/>
      <c r="N93" s="876"/>
      <c r="O93" s="287" t="s">
        <v>2318</v>
      </c>
      <c r="P93" s="171"/>
      <c r="Q93" s="1661"/>
      <c r="R93" s="194"/>
      <c r="S93" s="184"/>
    </row>
    <row r="94" spans="1:19" s="53" customFormat="1" ht="15.75" customHeight="1">
      <c r="A94" s="292"/>
      <c r="B94" s="1171" t="s">
        <v>1601</v>
      </c>
      <c r="C94" s="1329"/>
      <c r="D94" s="1374"/>
      <c r="E94" s="915"/>
      <c r="F94" s="872">
        <f>SUM(F89:F93)</f>
        <v>5751.512358333333</v>
      </c>
      <c r="G94" s="917"/>
      <c r="H94" s="1234">
        <f>SUM(H89:H93)</f>
        <v>0</v>
      </c>
      <c r="I94" s="916"/>
      <c r="J94" s="872">
        <f>SUM(J89:J93)</f>
        <v>0</v>
      </c>
      <c r="K94" s="917"/>
      <c r="L94" s="1234">
        <f>SUM(L89:L93)</f>
        <v>2876.2373583333333</v>
      </c>
      <c r="M94" s="916"/>
      <c r="N94" s="872">
        <f>SUM(N89:N93)</f>
        <v>2875.275</v>
      </c>
      <c r="O94" s="178"/>
      <c r="P94" s="208"/>
      <c r="Q94" s="179"/>
      <c r="R94" s="179"/>
      <c r="S94" s="198"/>
    </row>
    <row r="95" spans="1:19" s="52" customFormat="1" ht="18" customHeight="1" thickBot="1">
      <c r="A95" s="285"/>
      <c r="B95" s="1193" t="s">
        <v>1602</v>
      </c>
      <c r="C95" s="1334"/>
      <c r="D95" s="1375"/>
      <c r="E95" s="934"/>
      <c r="F95" s="935">
        <f>F83+F85+F87+F94</f>
        <v>5925.4178483333335</v>
      </c>
      <c r="G95" s="937"/>
      <c r="H95" s="1251">
        <f>H83+H85+H87+H94</f>
        <v>0</v>
      </c>
      <c r="I95" s="936"/>
      <c r="J95" s="935">
        <f>J83+J85+J87+J94</f>
        <v>173.90549</v>
      </c>
      <c r="K95" s="937"/>
      <c r="L95" s="1251">
        <f>L83+L85+L87+L94</f>
        <v>2876.2373583333333</v>
      </c>
      <c r="M95" s="936"/>
      <c r="N95" s="935">
        <f>N83+N85+N87+N94</f>
        <v>2875.275</v>
      </c>
      <c r="O95" s="206"/>
      <c r="P95" s="220"/>
      <c r="Q95" s="286"/>
      <c r="R95" s="194"/>
      <c r="S95" s="195"/>
    </row>
    <row r="96" spans="1:19" ht="18" customHeight="1" hidden="1">
      <c r="A96" s="1154" t="s">
        <v>1880</v>
      </c>
      <c r="B96" s="1185" t="s">
        <v>2088</v>
      </c>
      <c r="C96" s="1328"/>
      <c r="D96" s="1168"/>
      <c r="E96" s="861"/>
      <c r="F96" s="909"/>
      <c r="G96" s="940"/>
      <c r="H96" s="1252"/>
      <c r="I96" s="938"/>
      <c r="J96" s="939"/>
      <c r="K96" s="940"/>
      <c r="L96" s="1252"/>
      <c r="M96" s="938"/>
      <c r="N96" s="939"/>
      <c r="O96" s="209"/>
      <c r="P96" s="210"/>
      <c r="Q96" s="211"/>
      <c r="R96" s="176"/>
      <c r="S96" s="212"/>
    </row>
    <row r="97" spans="1:19" s="54" customFormat="1" ht="25.5" customHeight="1" hidden="1">
      <c r="A97" s="169"/>
      <c r="B97" s="1194"/>
      <c r="C97" s="1331"/>
      <c r="D97" s="1371"/>
      <c r="E97" s="920"/>
      <c r="F97" s="921"/>
      <c r="G97" s="962"/>
      <c r="H97" s="1235"/>
      <c r="I97" s="943"/>
      <c r="J97" s="876"/>
      <c r="K97" s="942"/>
      <c r="L97" s="1235">
        <f>K97*D97</f>
        <v>0</v>
      </c>
      <c r="M97" s="943"/>
      <c r="N97" s="876"/>
      <c r="O97" s="213"/>
      <c r="P97" s="208"/>
      <c r="Q97" s="189" t="s">
        <v>434</v>
      </c>
      <c r="R97" s="214"/>
      <c r="S97" s="215"/>
    </row>
    <row r="98" spans="1:19" s="55" customFormat="1" ht="20.25" customHeight="1" hidden="1" thickBot="1">
      <c r="A98" s="216"/>
      <c r="B98" s="1195" t="s">
        <v>1603</v>
      </c>
      <c r="C98" s="1335"/>
      <c r="D98" s="1376"/>
      <c r="E98" s="944"/>
      <c r="F98" s="945">
        <f>SUM(F97:F97)</f>
        <v>0</v>
      </c>
      <c r="G98" s="948"/>
      <c r="H98" s="1253">
        <f>SUM(H97:H97)</f>
        <v>0</v>
      </c>
      <c r="I98" s="946"/>
      <c r="J98" s="947">
        <f>SUM(J97:J97)</f>
        <v>0</v>
      </c>
      <c r="K98" s="990"/>
      <c r="L98" s="1260">
        <f>SUM(L97:L97)</f>
        <v>0</v>
      </c>
      <c r="M98" s="946"/>
      <c r="N98" s="947">
        <f>SUM(N97:N97)</f>
        <v>0</v>
      </c>
      <c r="O98" s="178"/>
      <c r="P98" s="208"/>
      <c r="Q98" s="201"/>
      <c r="R98" s="201"/>
      <c r="S98" s="215"/>
    </row>
    <row r="99" spans="1:19" s="55" customFormat="1" ht="19.5" customHeight="1" thickBot="1">
      <c r="A99" s="1702" t="s">
        <v>1632</v>
      </c>
      <c r="B99" s="1703"/>
      <c r="C99" s="1336"/>
      <c r="D99" s="1377"/>
      <c r="E99" s="951"/>
      <c r="F99" s="952">
        <f>F95+F98</f>
        <v>5925.4178483333335</v>
      </c>
      <c r="G99" s="955"/>
      <c r="H99" s="1254">
        <f>H95+H98</f>
        <v>0</v>
      </c>
      <c r="I99" s="953"/>
      <c r="J99" s="954">
        <f>J95+J98</f>
        <v>173.90549</v>
      </c>
      <c r="K99" s="1274"/>
      <c r="L99" s="1261">
        <f>L95+L98</f>
        <v>2876.2373583333333</v>
      </c>
      <c r="M99" s="953"/>
      <c r="N99" s="954">
        <f>N95+N98</f>
        <v>2875.275</v>
      </c>
      <c r="O99" s="178"/>
      <c r="P99" s="208"/>
      <c r="Q99" s="201"/>
      <c r="R99" s="201"/>
      <c r="S99" s="215"/>
    </row>
    <row r="100" spans="1:19" s="55" customFormat="1" ht="21.75" customHeight="1">
      <c r="A100" s="217" t="s">
        <v>1613</v>
      </c>
      <c r="B100" s="218"/>
      <c r="C100" s="1228"/>
      <c r="D100" s="1378"/>
      <c r="E100" s="957"/>
      <c r="F100" s="958"/>
      <c r="G100" s="961"/>
      <c r="H100" s="1255"/>
      <c r="I100" s="959"/>
      <c r="J100" s="960"/>
      <c r="K100" s="1275"/>
      <c r="L100" s="1290"/>
      <c r="M100" s="959"/>
      <c r="N100" s="960"/>
      <c r="O100" s="178"/>
      <c r="P100" s="208"/>
      <c r="Q100" s="201"/>
      <c r="R100" s="201"/>
      <c r="S100" s="215"/>
    </row>
    <row r="101" spans="1:19" s="53" customFormat="1" ht="45.75" customHeight="1">
      <c r="A101" s="168" t="s">
        <v>1881</v>
      </c>
      <c r="B101" s="1185" t="s">
        <v>2116</v>
      </c>
      <c r="C101" s="1229"/>
      <c r="D101" s="867"/>
      <c r="E101" s="869"/>
      <c r="F101" s="865"/>
      <c r="G101" s="878"/>
      <c r="H101" s="1237"/>
      <c r="I101" s="884"/>
      <c r="J101" s="883"/>
      <c r="K101" s="885"/>
      <c r="L101" s="1237"/>
      <c r="M101" s="884"/>
      <c r="N101" s="883"/>
      <c r="O101" s="178"/>
      <c r="P101" s="208"/>
      <c r="Q101" s="201"/>
      <c r="R101" s="179"/>
      <c r="S101" s="198"/>
    </row>
    <row r="102" spans="1:19" s="54" customFormat="1" ht="18.75" customHeight="1" hidden="1">
      <c r="A102" s="168" t="s">
        <v>1882</v>
      </c>
      <c r="B102" s="1171" t="s">
        <v>438</v>
      </c>
      <c r="C102" s="1328"/>
      <c r="D102" s="1379"/>
      <c r="E102" s="869"/>
      <c r="F102" s="865">
        <f>D102*E102</f>
        <v>0</v>
      </c>
      <c r="G102" s="962"/>
      <c r="H102" s="1235">
        <f>G102*D102</f>
        <v>0</v>
      </c>
      <c r="I102" s="941"/>
      <c r="J102" s="876">
        <f>I102*D102</f>
        <v>0</v>
      </c>
      <c r="K102" s="962"/>
      <c r="L102" s="1235">
        <f>K102*D102</f>
        <v>0</v>
      </c>
      <c r="M102" s="941"/>
      <c r="N102" s="876">
        <f>M102*D102</f>
        <v>0</v>
      </c>
      <c r="O102" s="178"/>
      <c r="P102" s="208"/>
      <c r="Q102" s="201"/>
      <c r="R102" s="214"/>
      <c r="S102" s="215"/>
    </row>
    <row r="103" spans="1:19" s="55" customFormat="1" ht="21" customHeight="1" hidden="1">
      <c r="A103" s="219"/>
      <c r="B103" s="1196"/>
      <c r="C103" s="1337"/>
      <c r="D103" s="1380"/>
      <c r="E103" s="963"/>
      <c r="F103" s="865"/>
      <c r="G103" s="900"/>
      <c r="H103" s="1249"/>
      <c r="I103" s="899"/>
      <c r="J103" s="876"/>
      <c r="K103" s="878"/>
      <c r="L103" s="1235"/>
      <c r="M103" s="877"/>
      <c r="N103" s="876"/>
      <c r="O103" s="181"/>
      <c r="P103" s="220"/>
      <c r="Q103" s="186"/>
      <c r="R103" s="187"/>
      <c r="S103" s="221"/>
    </row>
    <row r="104" spans="1:19" s="55" customFormat="1" ht="18" customHeight="1" hidden="1">
      <c r="A104" s="222"/>
      <c r="B104" s="1189" t="s">
        <v>1604</v>
      </c>
      <c r="C104" s="1338"/>
      <c r="D104" s="1381"/>
      <c r="E104" s="964"/>
      <c r="F104" s="965">
        <f>SUM(F103:F103)</f>
        <v>0</v>
      </c>
      <c r="G104" s="967"/>
      <c r="H104" s="1256">
        <f>SUM(H103:H103)</f>
        <v>0</v>
      </c>
      <c r="I104" s="966"/>
      <c r="J104" s="968">
        <f>SUM(J103:J103)</f>
        <v>0</v>
      </c>
      <c r="K104" s="967"/>
      <c r="L104" s="1291">
        <f>SUM(L103:L103)</f>
        <v>0</v>
      </c>
      <c r="M104" s="966"/>
      <c r="N104" s="968">
        <f>SUM(N103:N103)</f>
        <v>0</v>
      </c>
      <c r="O104" s="206"/>
      <c r="P104" s="220"/>
      <c r="Q104" s="201"/>
      <c r="R104" s="223"/>
      <c r="S104" s="221"/>
    </row>
    <row r="105" spans="1:19" s="55" customFormat="1" ht="19.5" customHeight="1">
      <c r="A105" s="168" t="s">
        <v>1605</v>
      </c>
      <c r="B105" s="1171" t="s">
        <v>180</v>
      </c>
      <c r="C105" s="1328"/>
      <c r="D105" s="1379"/>
      <c r="E105" s="969"/>
      <c r="F105" s="865"/>
      <c r="G105" s="878"/>
      <c r="H105" s="1235"/>
      <c r="I105" s="877"/>
      <c r="J105" s="876"/>
      <c r="K105" s="866"/>
      <c r="L105" s="1153"/>
      <c r="M105" s="877"/>
      <c r="N105" s="876"/>
      <c r="O105" s="178"/>
      <c r="P105" s="208"/>
      <c r="Q105" s="201"/>
      <c r="R105" s="201"/>
      <c r="S105" s="215"/>
    </row>
    <row r="106" spans="1:19" s="53" customFormat="1" ht="19.5" customHeight="1">
      <c r="A106" s="224" t="s">
        <v>1606</v>
      </c>
      <c r="B106" s="1197" t="s">
        <v>2348</v>
      </c>
      <c r="C106" s="1339"/>
      <c r="D106" s="1382"/>
      <c r="E106" s="970"/>
      <c r="F106" s="971"/>
      <c r="G106" s="973"/>
      <c r="H106" s="1257"/>
      <c r="I106" s="972"/>
      <c r="J106" s="971"/>
      <c r="K106" s="973"/>
      <c r="L106" s="1257"/>
      <c r="M106" s="972"/>
      <c r="N106" s="971"/>
      <c r="O106" s="178"/>
      <c r="P106" s="220"/>
      <c r="Q106" s="223"/>
      <c r="R106" s="223"/>
      <c r="S106" s="225"/>
    </row>
    <row r="107" spans="1:19" s="1155" customFormat="1" ht="36.75" customHeight="1">
      <c r="A107" s="207" t="s">
        <v>2360</v>
      </c>
      <c r="B107" s="1172" t="s">
        <v>2349</v>
      </c>
      <c r="C107" s="1330" t="s">
        <v>1732</v>
      </c>
      <c r="D107" s="1383">
        <v>65.63</v>
      </c>
      <c r="E107" s="1169">
        <f>F107/D107</f>
        <v>7.9993905226268485</v>
      </c>
      <c r="F107" s="975">
        <v>525</v>
      </c>
      <c r="G107" s="900"/>
      <c r="H107" s="1249"/>
      <c r="I107" s="899"/>
      <c r="J107" s="901"/>
      <c r="K107" s="1014">
        <f>E107</f>
        <v>7.9993905226268485</v>
      </c>
      <c r="L107" s="1258">
        <f>F107</f>
        <v>525</v>
      </c>
      <c r="M107" s="899"/>
      <c r="N107" s="901"/>
      <c r="O107" s="181" t="s">
        <v>2318</v>
      </c>
      <c r="P107" s="220"/>
      <c r="Q107" s="187" t="s">
        <v>2421</v>
      </c>
      <c r="R107" s="223"/>
      <c r="S107" s="221"/>
    </row>
    <row r="108" spans="1:19" s="53" customFormat="1" ht="19.5" customHeight="1">
      <c r="A108" s="224" t="s">
        <v>2359</v>
      </c>
      <c r="B108" s="1197" t="s">
        <v>655</v>
      </c>
      <c r="C108" s="1339"/>
      <c r="D108" s="1382"/>
      <c r="E108" s="970"/>
      <c r="F108" s="971"/>
      <c r="G108" s="973"/>
      <c r="H108" s="1257"/>
      <c r="I108" s="972"/>
      <c r="J108" s="971"/>
      <c r="K108" s="973"/>
      <c r="L108" s="1257"/>
      <c r="M108" s="972"/>
      <c r="N108" s="971"/>
      <c r="O108" s="178"/>
      <c r="P108" s="220"/>
      <c r="Q108" s="223"/>
      <c r="R108" s="223"/>
      <c r="S108" s="225"/>
    </row>
    <row r="109" spans="1:19" s="53" customFormat="1" ht="33" customHeight="1">
      <c r="A109" s="219" t="s">
        <v>2361</v>
      </c>
      <c r="B109" s="1196" t="s">
        <v>2203</v>
      </c>
      <c r="C109" s="1340" t="s">
        <v>1732</v>
      </c>
      <c r="D109" s="1384">
        <v>38.82</v>
      </c>
      <c r="E109" s="1156">
        <v>1</v>
      </c>
      <c r="F109" s="902">
        <f aca="true" t="shared" si="9" ref="F109:F120">D109*E109</f>
        <v>38.82</v>
      </c>
      <c r="G109" s="878"/>
      <c r="H109" s="1237"/>
      <c r="I109" s="884"/>
      <c r="J109" s="876"/>
      <c r="K109" s="878"/>
      <c r="L109" s="1235">
        <f>F109/2</f>
        <v>19.41</v>
      </c>
      <c r="M109" s="877">
        <f>E109</f>
        <v>1</v>
      </c>
      <c r="N109" s="876">
        <f>F109-H109-J109-L109</f>
        <v>19.41</v>
      </c>
      <c r="O109" s="181" t="s">
        <v>2193</v>
      </c>
      <c r="P109" s="208"/>
      <c r="Q109" s="1659" t="s">
        <v>2288</v>
      </c>
      <c r="R109" s="1659" t="s">
        <v>2301</v>
      </c>
      <c r="S109" s="198"/>
    </row>
    <row r="110" spans="1:19" s="53" customFormat="1" ht="33" customHeight="1">
      <c r="A110" s="219" t="s">
        <v>2362</v>
      </c>
      <c r="B110" s="1196" t="s">
        <v>2204</v>
      </c>
      <c r="C110" s="1340" t="s">
        <v>1732</v>
      </c>
      <c r="D110" s="1384">
        <v>16.02</v>
      </c>
      <c r="E110" s="1156">
        <v>1</v>
      </c>
      <c r="F110" s="902">
        <f t="shared" si="9"/>
        <v>16.02</v>
      </c>
      <c r="G110" s="878"/>
      <c r="H110" s="1237"/>
      <c r="I110" s="884"/>
      <c r="J110" s="876"/>
      <c r="K110" s="878"/>
      <c r="L110" s="1235">
        <f aca="true" t="shared" si="10" ref="L110:L120">F110/2</f>
        <v>8.01</v>
      </c>
      <c r="M110" s="877">
        <f aca="true" t="shared" si="11" ref="M110:M120">E110</f>
        <v>1</v>
      </c>
      <c r="N110" s="876">
        <f aca="true" t="shared" si="12" ref="N110:N120">F110-H110-J110-L110</f>
        <v>8.01</v>
      </c>
      <c r="O110" s="181" t="s">
        <v>2193</v>
      </c>
      <c r="P110" s="208"/>
      <c r="Q110" s="1660"/>
      <c r="R110" s="1660"/>
      <c r="S110" s="198"/>
    </row>
    <row r="111" spans="1:19" s="53" customFormat="1" ht="33" customHeight="1">
      <c r="A111" s="219" t="s">
        <v>2363</v>
      </c>
      <c r="B111" s="1196" t="s">
        <v>2205</v>
      </c>
      <c r="C111" s="1340" t="s">
        <v>1732</v>
      </c>
      <c r="D111" s="1384">
        <v>17.84</v>
      </c>
      <c r="E111" s="1156">
        <v>1</v>
      </c>
      <c r="F111" s="902">
        <f t="shared" si="9"/>
        <v>17.84</v>
      </c>
      <c r="G111" s="878"/>
      <c r="H111" s="1237"/>
      <c r="I111" s="884"/>
      <c r="J111" s="876"/>
      <c r="K111" s="878"/>
      <c r="L111" s="1235">
        <f t="shared" si="10"/>
        <v>8.92</v>
      </c>
      <c r="M111" s="877">
        <f t="shared" si="11"/>
        <v>1</v>
      </c>
      <c r="N111" s="876">
        <f t="shared" si="12"/>
        <v>8.92</v>
      </c>
      <c r="O111" s="181" t="s">
        <v>2193</v>
      </c>
      <c r="P111" s="208"/>
      <c r="Q111" s="1660"/>
      <c r="R111" s="1660"/>
      <c r="S111" s="198"/>
    </row>
    <row r="112" spans="1:19" s="53" customFormat="1" ht="33" customHeight="1">
      <c r="A112" s="219" t="s">
        <v>2364</v>
      </c>
      <c r="B112" s="1196" t="s">
        <v>2206</v>
      </c>
      <c r="C112" s="1340" t="s">
        <v>1732</v>
      </c>
      <c r="D112" s="1384">
        <v>10.86</v>
      </c>
      <c r="E112" s="1156">
        <v>1</v>
      </c>
      <c r="F112" s="902">
        <f t="shared" si="9"/>
        <v>10.86</v>
      </c>
      <c r="G112" s="878"/>
      <c r="H112" s="1237"/>
      <c r="I112" s="884"/>
      <c r="J112" s="876"/>
      <c r="K112" s="878"/>
      <c r="L112" s="1235">
        <f t="shared" si="10"/>
        <v>5.43</v>
      </c>
      <c r="M112" s="877">
        <f t="shared" si="11"/>
        <v>1</v>
      </c>
      <c r="N112" s="876">
        <f t="shared" si="12"/>
        <v>5.43</v>
      </c>
      <c r="O112" s="181" t="s">
        <v>2193</v>
      </c>
      <c r="P112" s="208"/>
      <c r="Q112" s="1660"/>
      <c r="R112" s="1660"/>
      <c r="S112" s="198"/>
    </row>
    <row r="113" spans="1:19" s="53" customFormat="1" ht="33" customHeight="1">
      <c r="A113" s="219" t="s">
        <v>2365</v>
      </c>
      <c r="B113" s="1196" t="s">
        <v>2207</v>
      </c>
      <c r="C113" s="1340" t="s">
        <v>1732</v>
      </c>
      <c r="D113" s="1384">
        <v>31.22</v>
      </c>
      <c r="E113" s="1156">
        <v>4</v>
      </c>
      <c r="F113" s="902">
        <f t="shared" si="9"/>
        <v>124.88</v>
      </c>
      <c r="G113" s="878"/>
      <c r="H113" s="1237"/>
      <c r="I113" s="884"/>
      <c r="J113" s="876"/>
      <c r="K113" s="878"/>
      <c r="L113" s="1235">
        <f t="shared" si="10"/>
        <v>62.44</v>
      </c>
      <c r="M113" s="877">
        <f t="shared" si="11"/>
        <v>4</v>
      </c>
      <c r="N113" s="876">
        <f t="shared" si="12"/>
        <v>62.44</v>
      </c>
      <c r="O113" s="181" t="s">
        <v>2193</v>
      </c>
      <c r="P113" s="208"/>
      <c r="Q113" s="1660"/>
      <c r="R113" s="1660"/>
      <c r="S113" s="198"/>
    </row>
    <row r="114" spans="1:19" s="53" customFormat="1" ht="33" customHeight="1">
      <c r="A114" s="219" t="s">
        <v>2366</v>
      </c>
      <c r="B114" s="1196" t="s">
        <v>2208</v>
      </c>
      <c r="C114" s="1340" t="s">
        <v>1732</v>
      </c>
      <c r="D114" s="1384">
        <v>6.9</v>
      </c>
      <c r="E114" s="1156">
        <v>4</v>
      </c>
      <c r="F114" s="902">
        <f t="shared" si="9"/>
        <v>27.6</v>
      </c>
      <c r="G114" s="878"/>
      <c r="H114" s="1237"/>
      <c r="I114" s="884"/>
      <c r="J114" s="876"/>
      <c r="K114" s="878"/>
      <c r="L114" s="1235">
        <f t="shared" si="10"/>
        <v>13.8</v>
      </c>
      <c r="M114" s="877">
        <f t="shared" si="11"/>
        <v>4</v>
      </c>
      <c r="N114" s="876">
        <f t="shared" si="12"/>
        <v>13.8</v>
      </c>
      <c r="O114" s="181" t="s">
        <v>2193</v>
      </c>
      <c r="P114" s="208"/>
      <c r="Q114" s="1660"/>
      <c r="R114" s="1660"/>
      <c r="S114" s="198"/>
    </row>
    <row r="115" spans="1:19" s="53" customFormat="1" ht="33.75" customHeight="1">
      <c r="A115" s="219" t="s">
        <v>2367</v>
      </c>
      <c r="B115" s="1196" t="s">
        <v>2209</v>
      </c>
      <c r="C115" s="1340" t="s">
        <v>1732</v>
      </c>
      <c r="D115" s="1384">
        <v>21.8</v>
      </c>
      <c r="E115" s="1156">
        <v>4</v>
      </c>
      <c r="F115" s="902">
        <f t="shared" si="9"/>
        <v>87.2</v>
      </c>
      <c r="G115" s="878"/>
      <c r="H115" s="1237"/>
      <c r="I115" s="884"/>
      <c r="J115" s="876"/>
      <c r="K115" s="878"/>
      <c r="L115" s="1235">
        <f t="shared" si="10"/>
        <v>43.6</v>
      </c>
      <c r="M115" s="877">
        <f t="shared" si="11"/>
        <v>4</v>
      </c>
      <c r="N115" s="876">
        <f t="shared" si="12"/>
        <v>43.6</v>
      </c>
      <c r="O115" s="181" t="s">
        <v>2193</v>
      </c>
      <c r="P115" s="208"/>
      <c r="Q115" s="1660"/>
      <c r="R115" s="1660"/>
      <c r="S115" s="198"/>
    </row>
    <row r="116" spans="1:19" s="54" customFormat="1" ht="33" customHeight="1">
      <c r="A116" s="219" t="s">
        <v>2368</v>
      </c>
      <c r="B116" s="1196" t="s">
        <v>2210</v>
      </c>
      <c r="C116" s="1340" t="s">
        <v>1732</v>
      </c>
      <c r="D116" s="1384">
        <v>15.72</v>
      </c>
      <c r="E116" s="1156">
        <v>5</v>
      </c>
      <c r="F116" s="902">
        <f t="shared" si="9"/>
        <v>78.60000000000001</v>
      </c>
      <c r="G116" s="878"/>
      <c r="H116" s="1235">
        <f>G116*D116</f>
        <v>0</v>
      </c>
      <c r="I116" s="877"/>
      <c r="J116" s="876"/>
      <c r="K116" s="878"/>
      <c r="L116" s="1235">
        <f t="shared" si="10"/>
        <v>39.300000000000004</v>
      </c>
      <c r="M116" s="877">
        <f t="shared" si="11"/>
        <v>5</v>
      </c>
      <c r="N116" s="876">
        <f t="shared" si="12"/>
        <v>39.300000000000004</v>
      </c>
      <c r="O116" s="181" t="s">
        <v>2193</v>
      </c>
      <c r="P116" s="208"/>
      <c r="Q116" s="1660"/>
      <c r="R116" s="1660"/>
      <c r="S116" s="215"/>
    </row>
    <row r="117" spans="1:19" s="55" customFormat="1" ht="30" customHeight="1">
      <c r="A117" s="219" t="s">
        <v>2369</v>
      </c>
      <c r="B117" s="1196" t="s">
        <v>2211</v>
      </c>
      <c r="C117" s="1340" t="s">
        <v>1732</v>
      </c>
      <c r="D117" s="1380">
        <v>5.68</v>
      </c>
      <c r="E117" s="1156">
        <v>23</v>
      </c>
      <c r="F117" s="902">
        <f t="shared" si="9"/>
        <v>130.64</v>
      </c>
      <c r="G117" s="1014"/>
      <c r="H117" s="1258"/>
      <c r="I117" s="899"/>
      <c r="J117" s="876"/>
      <c r="K117" s="878"/>
      <c r="L117" s="1235">
        <f t="shared" si="10"/>
        <v>65.32</v>
      </c>
      <c r="M117" s="877">
        <f t="shared" si="11"/>
        <v>23</v>
      </c>
      <c r="N117" s="876">
        <f t="shared" si="12"/>
        <v>65.32</v>
      </c>
      <c r="O117" s="181" t="s">
        <v>2193</v>
      </c>
      <c r="P117" s="220"/>
      <c r="Q117" s="1660"/>
      <c r="R117" s="1660"/>
      <c r="S117" s="221"/>
    </row>
    <row r="118" spans="1:19" s="55" customFormat="1" ht="30.75" customHeight="1">
      <c r="A118" s="219" t="s">
        <v>2370</v>
      </c>
      <c r="B118" s="1196" t="s">
        <v>2212</v>
      </c>
      <c r="C118" s="1340" t="s">
        <v>1732</v>
      </c>
      <c r="D118" s="1384">
        <v>5.08</v>
      </c>
      <c r="E118" s="1156">
        <f>10</f>
        <v>10</v>
      </c>
      <c r="F118" s="902">
        <f t="shared" si="9"/>
        <v>50.8</v>
      </c>
      <c r="G118" s="866"/>
      <c r="H118" s="1153"/>
      <c r="I118" s="877"/>
      <c r="J118" s="876"/>
      <c r="K118" s="878"/>
      <c r="L118" s="1235">
        <f t="shared" si="10"/>
        <v>25.4</v>
      </c>
      <c r="M118" s="877">
        <f t="shared" si="11"/>
        <v>10</v>
      </c>
      <c r="N118" s="876">
        <f t="shared" si="12"/>
        <v>25.4</v>
      </c>
      <c r="O118" s="181" t="s">
        <v>2193</v>
      </c>
      <c r="P118" s="208"/>
      <c r="Q118" s="1660"/>
      <c r="R118" s="1660"/>
      <c r="S118" s="215"/>
    </row>
    <row r="119" spans="1:19" s="55" customFormat="1" ht="30.75" customHeight="1">
      <c r="A119" s="219" t="s">
        <v>2371</v>
      </c>
      <c r="B119" s="1198" t="s">
        <v>2223</v>
      </c>
      <c r="C119" s="1340" t="s">
        <v>1732</v>
      </c>
      <c r="D119" s="1380">
        <v>7.36</v>
      </c>
      <c r="E119" s="1157">
        <v>108</v>
      </c>
      <c r="F119" s="865">
        <f t="shared" si="9"/>
        <v>794.88</v>
      </c>
      <c r="G119" s="1014"/>
      <c r="H119" s="1258"/>
      <c r="I119" s="899"/>
      <c r="J119" s="876"/>
      <c r="K119" s="878"/>
      <c r="L119" s="1235">
        <f t="shared" si="10"/>
        <v>397.44</v>
      </c>
      <c r="M119" s="877">
        <f t="shared" si="11"/>
        <v>108</v>
      </c>
      <c r="N119" s="876">
        <f t="shared" si="12"/>
        <v>397.44</v>
      </c>
      <c r="O119" s="181" t="s">
        <v>2193</v>
      </c>
      <c r="P119" s="220"/>
      <c r="Q119" s="1660"/>
      <c r="R119" s="1660"/>
      <c r="S119" s="221"/>
    </row>
    <row r="120" spans="1:19" s="55" customFormat="1" ht="30.75" customHeight="1">
      <c r="A120" s="219" t="s">
        <v>2372</v>
      </c>
      <c r="B120" s="1196" t="s">
        <v>2213</v>
      </c>
      <c r="C120" s="1340" t="s">
        <v>1732</v>
      </c>
      <c r="D120" s="1380">
        <v>1.42</v>
      </c>
      <c r="E120" s="1157">
        <v>1</v>
      </c>
      <c r="F120" s="975">
        <f t="shared" si="9"/>
        <v>1.42</v>
      </c>
      <c r="G120" s="1014"/>
      <c r="H120" s="1258"/>
      <c r="I120" s="899"/>
      <c r="J120" s="876"/>
      <c r="K120" s="878"/>
      <c r="L120" s="1235">
        <f t="shared" si="10"/>
        <v>0.71</v>
      </c>
      <c r="M120" s="877">
        <f t="shared" si="11"/>
        <v>1</v>
      </c>
      <c r="N120" s="876">
        <f t="shared" si="12"/>
        <v>0.71</v>
      </c>
      <c r="O120" s="181" t="s">
        <v>2193</v>
      </c>
      <c r="P120" s="220"/>
      <c r="Q120" s="1661"/>
      <c r="R120" s="1661"/>
      <c r="S120" s="221"/>
    </row>
    <row r="121" spans="1:19" s="55" customFormat="1" ht="18.75" customHeight="1">
      <c r="A121" s="222"/>
      <c r="B121" s="1189" t="s">
        <v>1607</v>
      </c>
      <c r="C121" s="1341"/>
      <c r="D121" s="1385"/>
      <c r="E121" s="976"/>
      <c r="F121" s="965">
        <f>SUM(F107:F120)</f>
        <v>1904.56</v>
      </c>
      <c r="G121" s="1225"/>
      <c r="H121" s="1256">
        <f>SUM(H107:H120)</f>
        <v>0</v>
      </c>
      <c r="I121" s="1282"/>
      <c r="J121" s="965">
        <f>SUM(J107:J120)</f>
        <v>0</v>
      </c>
      <c r="K121" s="1225"/>
      <c r="L121" s="1256">
        <f>SUM(L107:L120)</f>
        <v>1214.7799999999997</v>
      </c>
      <c r="M121" s="1282"/>
      <c r="N121" s="965">
        <f>SUM(N107:N120)</f>
        <v>689.78</v>
      </c>
      <c r="O121" s="206"/>
      <c r="P121" s="220"/>
      <c r="Q121" s="223"/>
      <c r="R121" s="223"/>
      <c r="S121" s="221"/>
    </row>
    <row r="122" spans="1:19" s="55" customFormat="1" ht="15.75" customHeight="1">
      <c r="A122" s="226"/>
      <c r="B122" s="1185" t="s">
        <v>1608</v>
      </c>
      <c r="C122" s="1342"/>
      <c r="D122" s="1386"/>
      <c r="E122" s="977"/>
      <c r="F122" s="978">
        <f>F121+F104</f>
        <v>1904.56</v>
      </c>
      <c r="G122" s="980"/>
      <c r="H122" s="1242">
        <f>H121+H104</f>
        <v>0</v>
      </c>
      <c r="I122" s="979"/>
      <c r="J122" s="978">
        <f>J121+J104</f>
        <v>0</v>
      </c>
      <c r="K122" s="980"/>
      <c r="L122" s="1242">
        <f>L121+L104</f>
        <v>1214.7799999999997</v>
      </c>
      <c r="M122" s="979"/>
      <c r="N122" s="978">
        <f>N121+N104</f>
        <v>689.78</v>
      </c>
      <c r="O122" s="178"/>
      <c r="P122" s="208"/>
      <c r="Q122" s="201"/>
      <c r="R122" s="201"/>
      <c r="S122" s="215"/>
    </row>
    <row r="123" spans="1:19" s="53" customFormat="1" ht="15.75" customHeight="1">
      <c r="A123" s="205" t="s">
        <v>1883</v>
      </c>
      <c r="B123" s="1193" t="s">
        <v>2088</v>
      </c>
      <c r="C123" s="1333"/>
      <c r="D123" s="1383"/>
      <c r="E123" s="981"/>
      <c r="F123" s="975">
        <f>D123*E123</f>
        <v>0</v>
      </c>
      <c r="G123" s="900"/>
      <c r="H123" s="1259"/>
      <c r="I123" s="1004"/>
      <c r="J123" s="982"/>
      <c r="K123" s="983"/>
      <c r="L123" s="1259"/>
      <c r="M123" s="1004"/>
      <c r="N123" s="982"/>
      <c r="O123" s="206"/>
      <c r="P123" s="220"/>
      <c r="Q123" s="223"/>
      <c r="R123" s="187"/>
      <c r="S123" s="225"/>
    </row>
    <row r="124" spans="1:19" s="52" customFormat="1" ht="33.75" customHeight="1" hidden="1">
      <c r="A124" s="219"/>
      <c r="B124" s="1198"/>
      <c r="C124" s="1340"/>
      <c r="D124" s="1387"/>
      <c r="E124" s="1156"/>
      <c r="F124" s="902"/>
      <c r="G124" s="878"/>
      <c r="H124" s="1235"/>
      <c r="I124" s="877"/>
      <c r="J124" s="876"/>
      <c r="K124" s="878"/>
      <c r="L124" s="1235"/>
      <c r="M124" s="877"/>
      <c r="N124" s="876"/>
      <c r="O124" s="181"/>
      <c r="P124" s="208"/>
      <c r="Q124" s="201"/>
      <c r="R124" s="173"/>
      <c r="S124" s="184"/>
    </row>
    <row r="125" spans="1:19" s="52" customFormat="1" ht="33.75" customHeight="1">
      <c r="A125" s="219" t="s">
        <v>2105</v>
      </c>
      <c r="B125" s="1198" t="s">
        <v>1694</v>
      </c>
      <c r="C125" s="1340" t="s">
        <v>2104</v>
      </c>
      <c r="D125" s="1384">
        <v>40.67</v>
      </c>
      <c r="E125" s="988">
        <v>0.3</v>
      </c>
      <c r="F125" s="902">
        <f>D125*E125</f>
        <v>12.201</v>
      </c>
      <c r="G125" s="985"/>
      <c r="H125" s="1235"/>
      <c r="I125" s="984">
        <f aca="true" t="shared" si="13" ref="I125:J128">E125</f>
        <v>0.3</v>
      </c>
      <c r="J125" s="876">
        <f t="shared" si="13"/>
        <v>12.201</v>
      </c>
      <c r="K125" s="878"/>
      <c r="L125" s="1235"/>
      <c r="M125" s="877"/>
      <c r="N125" s="876"/>
      <c r="O125" s="181" t="s">
        <v>2193</v>
      </c>
      <c r="P125" s="200"/>
      <c r="Q125" s="1659" t="s">
        <v>2289</v>
      </c>
      <c r="R125" s="1659" t="s">
        <v>2302</v>
      </c>
      <c r="S125" s="202"/>
    </row>
    <row r="126" spans="1:19" s="54" customFormat="1" ht="33.75" customHeight="1">
      <c r="A126" s="219" t="s">
        <v>186</v>
      </c>
      <c r="B126" s="1198" t="s">
        <v>1695</v>
      </c>
      <c r="C126" s="1340" t="s">
        <v>2104</v>
      </c>
      <c r="D126" s="1384">
        <v>16</v>
      </c>
      <c r="E126" s="988">
        <v>0.3</v>
      </c>
      <c r="F126" s="902">
        <f>D126*E126</f>
        <v>4.8</v>
      </c>
      <c r="G126" s="1006"/>
      <c r="H126" s="1235"/>
      <c r="I126" s="984">
        <f t="shared" si="13"/>
        <v>0.3</v>
      </c>
      <c r="J126" s="876">
        <f t="shared" si="13"/>
        <v>4.8</v>
      </c>
      <c r="K126" s="878"/>
      <c r="L126" s="1235"/>
      <c r="M126" s="877"/>
      <c r="N126" s="876"/>
      <c r="O126" s="181" t="s">
        <v>2193</v>
      </c>
      <c r="P126" s="227"/>
      <c r="Q126" s="1660"/>
      <c r="R126" s="1660"/>
      <c r="S126" s="215"/>
    </row>
    <row r="127" spans="1:19" s="56" customFormat="1" ht="35.25" customHeight="1">
      <c r="A127" s="219" t="s">
        <v>1609</v>
      </c>
      <c r="B127" s="1199" t="s">
        <v>1696</v>
      </c>
      <c r="C127" s="1343" t="s">
        <v>2104</v>
      </c>
      <c r="D127" s="1380">
        <v>12.9</v>
      </c>
      <c r="E127" s="963">
        <v>0.9</v>
      </c>
      <c r="F127" s="902">
        <f>D127*E127</f>
        <v>11.610000000000001</v>
      </c>
      <c r="G127" s="1008"/>
      <c r="H127" s="1235"/>
      <c r="I127" s="984">
        <f t="shared" si="13"/>
        <v>0.9</v>
      </c>
      <c r="J127" s="876">
        <f t="shared" si="13"/>
        <v>11.610000000000001</v>
      </c>
      <c r="K127" s="878"/>
      <c r="L127" s="1235"/>
      <c r="M127" s="877"/>
      <c r="N127" s="876"/>
      <c r="O127" s="181" t="s">
        <v>2193</v>
      </c>
      <c r="P127" s="228"/>
      <c r="Q127" s="1660"/>
      <c r="R127" s="1660"/>
      <c r="S127" s="230"/>
    </row>
    <row r="128" spans="1:19" s="56" customFormat="1" ht="33" customHeight="1">
      <c r="A128" s="219" t="s">
        <v>1610</v>
      </c>
      <c r="B128" s="1198" t="s">
        <v>2222</v>
      </c>
      <c r="C128" s="1340" t="s">
        <v>2104</v>
      </c>
      <c r="D128" s="1384">
        <v>12</v>
      </c>
      <c r="E128" s="988">
        <v>0.61</v>
      </c>
      <c r="F128" s="902">
        <f>D128*E128</f>
        <v>7.32</v>
      </c>
      <c r="G128" s="1006"/>
      <c r="H128" s="1235"/>
      <c r="I128" s="984">
        <f t="shared" si="13"/>
        <v>0.61</v>
      </c>
      <c r="J128" s="876">
        <f t="shared" si="13"/>
        <v>7.32</v>
      </c>
      <c r="K128" s="878"/>
      <c r="L128" s="1235"/>
      <c r="M128" s="877"/>
      <c r="N128" s="876"/>
      <c r="O128" s="181" t="s">
        <v>2193</v>
      </c>
      <c r="P128" s="227"/>
      <c r="Q128" s="1661"/>
      <c r="R128" s="1661"/>
      <c r="S128" s="231"/>
    </row>
    <row r="129" spans="1:19" s="53" customFormat="1" ht="18" customHeight="1" thickBot="1">
      <c r="A129" s="232"/>
      <c r="B129" s="1195" t="s">
        <v>1611</v>
      </c>
      <c r="C129" s="1344"/>
      <c r="D129" s="1388"/>
      <c r="E129" s="989"/>
      <c r="F129" s="950">
        <f>SUM(F124:F128)</f>
        <v>35.931000000000004</v>
      </c>
      <c r="G129" s="990"/>
      <c r="H129" s="1260">
        <f>SUM(H124:H128)</f>
        <v>0</v>
      </c>
      <c r="I129" s="949"/>
      <c r="J129" s="950">
        <f>SUM(J124:J128)</f>
        <v>35.931000000000004</v>
      </c>
      <c r="K129" s="990"/>
      <c r="L129" s="1260">
        <f>SUM(L124:L128)</f>
        <v>0</v>
      </c>
      <c r="M129" s="949"/>
      <c r="N129" s="950">
        <f>SUM(N124:N128)</f>
        <v>0</v>
      </c>
      <c r="O129" s="178"/>
      <c r="P129" s="227"/>
      <c r="Q129" s="201"/>
      <c r="R129" s="179"/>
      <c r="S129" s="198"/>
    </row>
    <row r="130" spans="1:19" s="59" customFormat="1" ht="21.75" customHeight="1" thickBot="1">
      <c r="A130" s="233" t="s">
        <v>1633</v>
      </c>
      <c r="B130" s="1200"/>
      <c r="C130" s="1345"/>
      <c r="D130" s="992"/>
      <c r="E130" s="991"/>
      <c r="F130" s="956">
        <f>F129+F122</f>
        <v>1940.491</v>
      </c>
      <c r="G130" s="993"/>
      <c r="H130" s="1261">
        <f>H129+H122</f>
        <v>0</v>
      </c>
      <c r="I130" s="992"/>
      <c r="J130" s="956">
        <f>J129+J122</f>
        <v>35.931000000000004</v>
      </c>
      <c r="K130" s="993"/>
      <c r="L130" s="1261">
        <f>L129+L122</f>
        <v>1214.7799999999997</v>
      </c>
      <c r="M130" s="992"/>
      <c r="N130" s="956">
        <f>N129+N122</f>
        <v>689.78</v>
      </c>
      <c r="O130" s="178"/>
      <c r="P130" s="227"/>
      <c r="Q130" s="201"/>
      <c r="R130" s="179"/>
      <c r="S130" s="198"/>
    </row>
    <row r="131" spans="1:19" s="59" customFormat="1" ht="24.75" customHeight="1">
      <c r="A131" s="234" t="s">
        <v>1612</v>
      </c>
      <c r="B131" s="1201"/>
      <c r="C131" s="1346"/>
      <c r="D131" s="996"/>
      <c r="E131" s="994"/>
      <c r="F131" s="995"/>
      <c r="G131" s="997"/>
      <c r="H131" s="1262"/>
      <c r="I131" s="996"/>
      <c r="J131" s="995"/>
      <c r="K131" s="997"/>
      <c r="L131" s="1262"/>
      <c r="M131" s="996"/>
      <c r="N131" s="995"/>
      <c r="O131" s="178"/>
      <c r="P131" s="227"/>
      <c r="Q131" s="201"/>
      <c r="R131" s="201"/>
      <c r="S131" s="198"/>
    </row>
    <row r="132" spans="1:19" s="59" customFormat="1" ht="33.75" customHeight="1">
      <c r="A132" s="235" t="s">
        <v>1884</v>
      </c>
      <c r="B132" s="1202" t="s">
        <v>190</v>
      </c>
      <c r="C132" s="1347"/>
      <c r="D132" s="1389"/>
      <c r="E132" s="998"/>
      <c r="F132" s="999">
        <f>D132*E132</f>
        <v>0</v>
      </c>
      <c r="G132" s="1001"/>
      <c r="H132" s="1239"/>
      <c r="I132" s="1000"/>
      <c r="J132" s="894"/>
      <c r="K132" s="1001"/>
      <c r="L132" s="1239"/>
      <c r="M132" s="895"/>
      <c r="N132" s="897"/>
      <c r="O132" s="178"/>
      <c r="P132" s="227"/>
      <c r="Q132" s="201"/>
      <c r="R132" s="201"/>
      <c r="S132" s="198"/>
    </row>
    <row r="133" spans="1:19" s="59" customFormat="1" ht="17.25" customHeight="1">
      <c r="A133" s="237" t="s">
        <v>1885</v>
      </c>
      <c r="B133" s="1203" t="s">
        <v>191</v>
      </c>
      <c r="C133" s="1348"/>
      <c r="D133" s="1390"/>
      <c r="E133" s="1002"/>
      <c r="F133" s="1003">
        <f>D133*E133</f>
        <v>0</v>
      </c>
      <c r="G133" s="983"/>
      <c r="H133" s="1259"/>
      <c r="I133" s="1004"/>
      <c r="J133" s="982"/>
      <c r="K133" s="983"/>
      <c r="L133" s="1259"/>
      <c r="M133" s="1004"/>
      <c r="N133" s="982"/>
      <c r="O133" s="206"/>
      <c r="P133" s="228"/>
      <c r="Q133" s="223"/>
      <c r="R133" s="187"/>
      <c r="S133" s="225"/>
    </row>
    <row r="134" spans="1:19" s="54" customFormat="1" ht="29.25" customHeight="1">
      <c r="A134" s="246" t="s">
        <v>1929</v>
      </c>
      <c r="B134" s="1158" t="s">
        <v>2249</v>
      </c>
      <c r="C134" s="1349" t="s">
        <v>1732</v>
      </c>
      <c r="D134" s="1391">
        <v>11.8</v>
      </c>
      <c r="E134" s="998">
        <f>96+3</f>
        <v>99</v>
      </c>
      <c r="F134" s="1005">
        <f>D134*E134</f>
        <v>1168.2</v>
      </c>
      <c r="G134" s="1006"/>
      <c r="H134" s="1235"/>
      <c r="I134" s="986"/>
      <c r="J134" s="876">
        <f>I134*D134</f>
        <v>0</v>
      </c>
      <c r="K134" s="1006">
        <v>49</v>
      </c>
      <c r="L134" s="1235">
        <f>K134*D134</f>
        <v>578.2</v>
      </c>
      <c r="M134" s="986">
        <v>50</v>
      </c>
      <c r="N134" s="876">
        <f>M134*D134</f>
        <v>590</v>
      </c>
      <c r="O134" s="181" t="s">
        <v>2193</v>
      </c>
      <c r="P134" s="227"/>
      <c r="Q134" s="1659" t="s">
        <v>2422</v>
      </c>
      <c r="R134" s="214" t="s">
        <v>2303</v>
      </c>
      <c r="S134" s="215"/>
    </row>
    <row r="135" spans="1:19" s="54" customFormat="1" ht="27" customHeight="1" hidden="1">
      <c r="A135" s="238"/>
      <c r="B135" s="1204"/>
      <c r="C135" s="1348"/>
      <c r="D135" s="1390"/>
      <c r="E135" s="1002"/>
      <c r="F135" s="1007">
        <f>D135*E135</f>
        <v>0</v>
      </c>
      <c r="G135" s="1008"/>
      <c r="H135" s="1249"/>
      <c r="I135" s="987"/>
      <c r="J135" s="901"/>
      <c r="K135" s="1008"/>
      <c r="L135" s="1249"/>
      <c r="M135" s="987"/>
      <c r="N135" s="901"/>
      <c r="O135" s="181"/>
      <c r="P135" s="228"/>
      <c r="Q135" s="1661"/>
      <c r="R135" s="229"/>
      <c r="S135" s="221"/>
    </row>
    <row r="136" spans="1:19" s="54" customFormat="1" ht="18.75" customHeight="1" thickBot="1">
      <c r="A136" s="297"/>
      <c r="B136" s="1205" t="s">
        <v>1614</v>
      </c>
      <c r="C136" s="1350"/>
      <c r="D136" s="1392"/>
      <c r="E136" s="1009"/>
      <c r="F136" s="1010">
        <f>SUM(F134:F135)</f>
        <v>1168.2</v>
      </c>
      <c r="G136" s="1012"/>
      <c r="H136" s="1263">
        <f>SUM(H134:H135)</f>
        <v>0</v>
      </c>
      <c r="I136" s="1011"/>
      <c r="J136" s="1010">
        <f>SUM(J134:J135)</f>
        <v>0</v>
      </c>
      <c r="K136" s="1012"/>
      <c r="L136" s="1263">
        <f>SUM(L134:L135)</f>
        <v>578.2</v>
      </c>
      <c r="M136" s="1011"/>
      <c r="N136" s="1010">
        <f>SUM(N134:N135)</f>
        <v>590</v>
      </c>
      <c r="O136" s="288"/>
      <c r="P136" s="250"/>
      <c r="Q136" s="289"/>
      <c r="R136" s="290"/>
      <c r="S136" s="291"/>
    </row>
    <row r="137" spans="1:19" s="54" customFormat="1" ht="18.75" customHeight="1" hidden="1">
      <c r="A137" s="237" t="s">
        <v>2000</v>
      </c>
      <c r="B137" s="1203" t="s">
        <v>657</v>
      </c>
      <c r="C137" s="1351"/>
      <c r="D137" s="1393"/>
      <c r="E137" s="981"/>
      <c r="F137" s="1013"/>
      <c r="G137" s="1014"/>
      <c r="H137" s="1264"/>
      <c r="I137" s="974"/>
      <c r="J137" s="1013"/>
      <c r="K137" s="1014"/>
      <c r="L137" s="1264"/>
      <c r="M137" s="974"/>
      <c r="N137" s="1013"/>
      <c r="O137" s="206"/>
      <c r="P137" s="228"/>
      <c r="Q137" s="223"/>
      <c r="R137" s="242"/>
      <c r="S137" s="221"/>
    </row>
    <row r="138" spans="1:19" s="54" customFormat="1" ht="18.75" customHeight="1" hidden="1">
      <c r="A138" s="241"/>
      <c r="B138" s="1204"/>
      <c r="C138" s="1348"/>
      <c r="D138" s="867"/>
      <c r="E138" s="869"/>
      <c r="F138" s="865"/>
      <c r="G138" s="866"/>
      <c r="H138" s="1153"/>
      <c r="I138" s="864"/>
      <c r="J138" s="889"/>
      <c r="K138" s="866"/>
      <c r="L138" s="1153"/>
      <c r="M138" s="864"/>
      <c r="N138" s="889"/>
      <c r="O138" s="181"/>
      <c r="P138" s="227"/>
      <c r="Q138" s="1659"/>
      <c r="R138" s="240"/>
      <c r="S138" s="215"/>
    </row>
    <row r="139" spans="1:19" s="54" customFormat="1" ht="18.75" customHeight="1" hidden="1">
      <c r="A139" s="241"/>
      <c r="B139" s="1204"/>
      <c r="C139" s="1348"/>
      <c r="D139" s="867"/>
      <c r="E139" s="869"/>
      <c r="F139" s="865"/>
      <c r="G139" s="866"/>
      <c r="H139" s="1153"/>
      <c r="I139" s="864"/>
      <c r="J139" s="889"/>
      <c r="K139" s="866"/>
      <c r="L139" s="1153"/>
      <c r="M139" s="864"/>
      <c r="N139" s="889"/>
      <c r="O139" s="181"/>
      <c r="P139" s="227"/>
      <c r="Q139" s="1661"/>
      <c r="R139" s="240"/>
      <c r="S139" s="215"/>
    </row>
    <row r="140" spans="1:19" s="54" customFormat="1" ht="18.75" customHeight="1" hidden="1">
      <c r="A140" s="239"/>
      <c r="B140" s="1171" t="s">
        <v>658</v>
      </c>
      <c r="C140" s="1352"/>
      <c r="D140" s="1394"/>
      <c r="E140" s="1015"/>
      <c r="F140" s="1016">
        <f>SUM(F138:F139)</f>
        <v>0</v>
      </c>
      <c r="G140" s="1018"/>
      <c r="H140" s="1241">
        <f>SUM(H138:H139)</f>
        <v>0</v>
      </c>
      <c r="I140" s="1017"/>
      <c r="J140" s="1016">
        <f>SUM(J138:J139)</f>
        <v>0</v>
      </c>
      <c r="K140" s="1018"/>
      <c r="L140" s="1241">
        <f>SUM(L138:L139)</f>
        <v>0</v>
      </c>
      <c r="M140" s="1017"/>
      <c r="N140" s="1016">
        <f>SUM(N138:N139)</f>
        <v>0</v>
      </c>
      <c r="O140" s="178"/>
      <c r="P140" s="227"/>
      <c r="Q140" s="201"/>
      <c r="R140" s="240"/>
      <c r="S140" s="215"/>
    </row>
    <row r="141" spans="1:19" s="54" customFormat="1" ht="35.25" customHeight="1">
      <c r="A141" s="235" t="s">
        <v>663</v>
      </c>
      <c r="B141" s="1184" t="s">
        <v>664</v>
      </c>
      <c r="C141" s="1229"/>
      <c r="D141" s="867"/>
      <c r="E141" s="869"/>
      <c r="F141" s="889"/>
      <c r="G141" s="866"/>
      <c r="H141" s="1238"/>
      <c r="I141" s="864"/>
      <c r="J141" s="889"/>
      <c r="K141" s="866"/>
      <c r="L141" s="1238"/>
      <c r="M141" s="864"/>
      <c r="N141" s="889"/>
      <c r="O141" s="178"/>
      <c r="P141" s="227"/>
      <c r="Q141" s="201"/>
      <c r="R141" s="240"/>
      <c r="S141" s="215"/>
    </row>
    <row r="142" spans="1:19" s="54" customFormat="1" ht="36" customHeight="1">
      <c r="A142" s="241" t="s">
        <v>665</v>
      </c>
      <c r="B142" s="1206" t="s">
        <v>666</v>
      </c>
      <c r="C142" s="1349" t="s">
        <v>1732</v>
      </c>
      <c r="D142" s="867">
        <v>1.1</v>
      </c>
      <c r="E142" s="869">
        <v>26</v>
      </c>
      <c r="F142" s="865">
        <f>D142*E142</f>
        <v>28.6</v>
      </c>
      <c r="G142" s="866"/>
      <c r="H142" s="1153"/>
      <c r="I142" s="864">
        <f>E142</f>
        <v>26</v>
      </c>
      <c r="J142" s="865">
        <f>F142</f>
        <v>28.6</v>
      </c>
      <c r="K142" s="866"/>
      <c r="L142" s="1153"/>
      <c r="M142" s="864"/>
      <c r="N142" s="889"/>
      <c r="O142" s="181" t="s">
        <v>2193</v>
      </c>
      <c r="P142" s="227"/>
      <c r="Q142" s="187"/>
      <c r="R142" s="214" t="s">
        <v>2304</v>
      </c>
      <c r="S142" s="215"/>
    </row>
    <row r="143" spans="1:19" s="54" customFormat="1" ht="18.75" customHeight="1">
      <c r="A143" s="239"/>
      <c r="B143" s="1171" t="s">
        <v>667</v>
      </c>
      <c r="C143" s="1352"/>
      <c r="D143" s="1394"/>
      <c r="E143" s="1015"/>
      <c r="F143" s="1016">
        <f>SUM(F142:F142)</f>
        <v>28.6</v>
      </c>
      <c r="G143" s="1018"/>
      <c r="H143" s="1241">
        <f>SUM(H142:H142)</f>
        <v>0</v>
      </c>
      <c r="I143" s="1017"/>
      <c r="J143" s="1016">
        <f>SUM(J142:J142)</f>
        <v>28.6</v>
      </c>
      <c r="K143" s="1018"/>
      <c r="L143" s="1241">
        <f>SUM(L142:L142)</f>
        <v>0</v>
      </c>
      <c r="M143" s="1017"/>
      <c r="N143" s="1016">
        <f>SUM(N142:N142)</f>
        <v>0</v>
      </c>
      <c r="O143" s="178"/>
      <c r="P143" s="227"/>
      <c r="Q143" s="201"/>
      <c r="R143" s="214"/>
      <c r="S143" s="215"/>
    </row>
    <row r="144" spans="1:19" s="54" customFormat="1" ht="32.25" customHeight="1" hidden="1">
      <c r="A144" s="237" t="s">
        <v>668</v>
      </c>
      <c r="B144" s="1203" t="s">
        <v>669</v>
      </c>
      <c r="C144" s="1351"/>
      <c r="D144" s="1393"/>
      <c r="E144" s="981"/>
      <c r="F144" s="1013"/>
      <c r="G144" s="1014"/>
      <c r="H144" s="1264"/>
      <c r="I144" s="974"/>
      <c r="J144" s="1013"/>
      <c r="K144" s="1014"/>
      <c r="L144" s="1264"/>
      <c r="M144" s="974"/>
      <c r="N144" s="1013"/>
      <c r="O144" s="206"/>
      <c r="P144" s="228"/>
      <c r="Q144" s="223"/>
      <c r="R144" s="229"/>
      <c r="S144" s="221"/>
    </row>
    <row r="145" spans="1:19" s="54" customFormat="1" ht="21.75" customHeight="1" hidden="1">
      <c r="A145" s="241"/>
      <c r="B145" s="1204"/>
      <c r="C145" s="1348"/>
      <c r="D145" s="867"/>
      <c r="E145" s="869"/>
      <c r="F145" s="865"/>
      <c r="G145" s="866"/>
      <c r="H145" s="1153"/>
      <c r="I145" s="864"/>
      <c r="J145" s="889"/>
      <c r="K145" s="866"/>
      <c r="L145" s="1153"/>
      <c r="M145" s="864"/>
      <c r="N145" s="889"/>
      <c r="O145" s="181"/>
      <c r="P145" s="227"/>
      <c r="Q145" s="179"/>
      <c r="R145" s="214"/>
      <c r="S145" s="215"/>
    </row>
    <row r="146" spans="1:19" s="54" customFormat="1" ht="18.75" customHeight="1" hidden="1">
      <c r="A146" s="239"/>
      <c r="B146" s="1171" t="s">
        <v>1</v>
      </c>
      <c r="C146" s="1352"/>
      <c r="D146" s="1394"/>
      <c r="E146" s="1015"/>
      <c r="F146" s="1016">
        <f>SUM(F145)</f>
        <v>0</v>
      </c>
      <c r="G146" s="1018"/>
      <c r="H146" s="1241">
        <f>SUM(H145)</f>
        <v>0</v>
      </c>
      <c r="I146" s="1017"/>
      <c r="J146" s="1016">
        <f>SUM(J145)</f>
        <v>0</v>
      </c>
      <c r="K146" s="1018"/>
      <c r="L146" s="1241">
        <f>SUM(L145)</f>
        <v>0</v>
      </c>
      <c r="M146" s="1017"/>
      <c r="N146" s="1016">
        <f>SUM(N145)</f>
        <v>0</v>
      </c>
      <c r="O146" s="178"/>
      <c r="P146" s="227"/>
      <c r="Q146" s="201"/>
      <c r="R146" s="214"/>
      <c r="S146" s="215"/>
    </row>
    <row r="147" spans="1:19" s="54" customFormat="1" ht="18" customHeight="1">
      <c r="A147" s="235" t="s">
        <v>659</v>
      </c>
      <c r="B147" s="1184" t="s">
        <v>660</v>
      </c>
      <c r="C147" s="1229"/>
      <c r="D147" s="867"/>
      <c r="E147" s="869"/>
      <c r="F147" s="889"/>
      <c r="G147" s="866"/>
      <c r="H147" s="1238"/>
      <c r="I147" s="864"/>
      <c r="J147" s="889"/>
      <c r="K147" s="866"/>
      <c r="L147" s="1238"/>
      <c r="M147" s="864"/>
      <c r="N147" s="889"/>
      <c r="O147" s="178"/>
      <c r="P147" s="227"/>
      <c r="Q147" s="201"/>
      <c r="R147" s="214"/>
      <c r="S147" s="215"/>
    </row>
    <row r="148" spans="1:19" s="54" customFormat="1" ht="55.5" customHeight="1" hidden="1">
      <c r="A148" s="293"/>
      <c r="B148" s="1192"/>
      <c r="C148" s="1348"/>
      <c r="D148" s="1393"/>
      <c r="E148" s="981"/>
      <c r="F148" s="975"/>
      <c r="G148" s="1014"/>
      <c r="H148" s="1258"/>
      <c r="I148" s="974"/>
      <c r="J148" s="1013"/>
      <c r="K148" s="1014"/>
      <c r="L148" s="1258"/>
      <c r="M148" s="974"/>
      <c r="N148" s="1013"/>
      <c r="O148" s="185"/>
      <c r="P148" s="228"/>
      <c r="Q148" s="1660" t="s">
        <v>2423</v>
      </c>
      <c r="R148" s="229"/>
      <c r="S148" s="221"/>
    </row>
    <row r="149" spans="1:19" s="54" customFormat="1" ht="36.75" customHeight="1">
      <c r="A149" s="241" t="s">
        <v>661</v>
      </c>
      <c r="B149" s="1190" t="s">
        <v>2229</v>
      </c>
      <c r="C149" s="1348" t="s">
        <v>1732</v>
      </c>
      <c r="D149" s="867">
        <v>50</v>
      </c>
      <c r="E149" s="869">
        <v>1</v>
      </c>
      <c r="F149" s="865">
        <f>D149*E149</f>
        <v>50</v>
      </c>
      <c r="G149" s="866"/>
      <c r="H149" s="1153"/>
      <c r="I149" s="864">
        <f>E149</f>
        <v>1</v>
      </c>
      <c r="J149" s="865">
        <f>F149</f>
        <v>50</v>
      </c>
      <c r="K149" s="866"/>
      <c r="L149" s="1153"/>
      <c r="M149" s="864"/>
      <c r="N149" s="889"/>
      <c r="O149" s="181" t="s">
        <v>2193</v>
      </c>
      <c r="P149" s="227"/>
      <c r="Q149" s="1661"/>
      <c r="R149" s="214" t="s">
        <v>2304</v>
      </c>
      <c r="S149" s="215"/>
    </row>
    <row r="150" spans="1:19" s="54" customFormat="1" ht="18.75" customHeight="1">
      <c r="A150" s="239"/>
      <c r="B150" s="1171" t="s">
        <v>662</v>
      </c>
      <c r="C150" s="1352"/>
      <c r="D150" s="1394"/>
      <c r="E150" s="1015"/>
      <c r="F150" s="1016">
        <f>SUM(F148:F149)</f>
        <v>50</v>
      </c>
      <c r="G150" s="1018"/>
      <c r="H150" s="1241">
        <f>SUM(H148:H149)</f>
        <v>0</v>
      </c>
      <c r="I150" s="1017"/>
      <c r="J150" s="1016">
        <f>SUM(J148:J149)</f>
        <v>50</v>
      </c>
      <c r="K150" s="1018"/>
      <c r="L150" s="1241">
        <f>SUM(L148:L149)</f>
        <v>0</v>
      </c>
      <c r="M150" s="1017"/>
      <c r="N150" s="1016">
        <f>SUM(N148:N149)</f>
        <v>0</v>
      </c>
      <c r="O150" s="178"/>
      <c r="P150" s="227"/>
      <c r="Q150" s="201"/>
      <c r="R150" s="240"/>
      <c r="S150" s="215"/>
    </row>
    <row r="151" spans="1:19" s="54" customFormat="1" ht="19.5" customHeight="1">
      <c r="A151" s="239"/>
      <c r="B151" s="1185" t="s">
        <v>1615</v>
      </c>
      <c r="C151" s="1342"/>
      <c r="D151" s="1386"/>
      <c r="E151" s="977"/>
      <c r="F151" s="978">
        <f>F136+F140+F143+F146+F150</f>
        <v>1246.8</v>
      </c>
      <c r="G151" s="980"/>
      <c r="H151" s="1242">
        <f>H136+H140+H143+H146+H150</f>
        <v>0</v>
      </c>
      <c r="I151" s="979"/>
      <c r="J151" s="978">
        <f>J136+J140+J143+J146+J150</f>
        <v>78.6</v>
      </c>
      <c r="K151" s="980"/>
      <c r="L151" s="1242">
        <f>L136+L140+L143+L146+L150</f>
        <v>578.2</v>
      </c>
      <c r="M151" s="979"/>
      <c r="N151" s="978">
        <f>N136+N140+N143+N146+N150</f>
        <v>590</v>
      </c>
      <c r="O151" s="178"/>
      <c r="P151" s="227"/>
      <c r="Q151" s="201"/>
      <c r="R151" s="240"/>
      <c r="S151" s="215"/>
    </row>
    <row r="152" spans="1:19" s="57" customFormat="1" ht="20.25" customHeight="1">
      <c r="A152" s="298" t="s">
        <v>1886</v>
      </c>
      <c r="B152" s="1193" t="s">
        <v>125</v>
      </c>
      <c r="C152" s="1351"/>
      <c r="D152" s="1393"/>
      <c r="E152" s="981"/>
      <c r="F152" s="1013"/>
      <c r="G152" s="1008"/>
      <c r="H152" s="1249"/>
      <c r="I152" s="987"/>
      <c r="J152" s="901"/>
      <c r="K152" s="1008"/>
      <c r="L152" s="1249"/>
      <c r="M152" s="987"/>
      <c r="N152" s="1019"/>
      <c r="O152" s="206"/>
      <c r="P152" s="228"/>
      <c r="Q152" s="223"/>
      <c r="R152" s="242"/>
      <c r="S152" s="230"/>
    </row>
    <row r="153" spans="1:19" s="57" customFormat="1" ht="22.5" customHeight="1">
      <c r="A153" s="237" t="s">
        <v>1794</v>
      </c>
      <c r="B153" s="1189" t="s">
        <v>126</v>
      </c>
      <c r="C153" s="1351"/>
      <c r="D153" s="1393"/>
      <c r="E153" s="981"/>
      <c r="F153" s="1013"/>
      <c r="G153" s="1008"/>
      <c r="H153" s="1249"/>
      <c r="I153" s="987"/>
      <c r="J153" s="901"/>
      <c r="K153" s="1008"/>
      <c r="L153" s="1249"/>
      <c r="M153" s="987"/>
      <c r="N153" s="1019"/>
      <c r="O153" s="206"/>
      <c r="P153" s="228"/>
      <c r="Q153" s="223"/>
      <c r="R153" s="242"/>
      <c r="S153" s="230"/>
    </row>
    <row r="154" spans="1:19" s="57" customFormat="1" ht="44.25" customHeight="1">
      <c r="A154" s="243" t="s">
        <v>166</v>
      </c>
      <c r="B154" s="1207" t="s">
        <v>465</v>
      </c>
      <c r="C154" s="1351" t="s">
        <v>1913</v>
      </c>
      <c r="D154" s="1395"/>
      <c r="E154" s="1020"/>
      <c r="F154" s="1003">
        <v>1125</v>
      </c>
      <c r="G154" s="1008"/>
      <c r="H154" s="1249"/>
      <c r="I154" s="987">
        <f>E154</f>
        <v>0</v>
      </c>
      <c r="J154" s="901">
        <f>F154</f>
        <v>1125</v>
      </c>
      <c r="K154" s="1008"/>
      <c r="L154" s="1249"/>
      <c r="M154" s="987"/>
      <c r="N154" s="1019"/>
      <c r="O154" s="181" t="s">
        <v>2193</v>
      </c>
      <c r="P154" s="228"/>
      <c r="Q154" s="187" t="s">
        <v>2423</v>
      </c>
      <c r="R154" s="242"/>
      <c r="S154" s="230"/>
    </row>
    <row r="155" spans="1:19" s="57" customFormat="1" ht="19.5" customHeight="1">
      <c r="A155" s="244"/>
      <c r="B155" s="1171" t="s">
        <v>1616</v>
      </c>
      <c r="C155" s="1352"/>
      <c r="D155" s="1394"/>
      <c r="E155" s="1015"/>
      <c r="F155" s="1016">
        <f>SUM(F154:F154)</f>
        <v>1125</v>
      </c>
      <c r="G155" s="1018"/>
      <c r="H155" s="1241">
        <f>SUM(H154:H154)</f>
        <v>0</v>
      </c>
      <c r="I155" s="1017"/>
      <c r="J155" s="1016">
        <f>SUM(J154:J154)</f>
        <v>1125</v>
      </c>
      <c r="K155" s="1018"/>
      <c r="L155" s="1241">
        <f>SUM(L154:L154)</f>
        <v>0</v>
      </c>
      <c r="M155" s="1017"/>
      <c r="N155" s="1016">
        <f>SUM(N154:N154)</f>
        <v>0</v>
      </c>
      <c r="O155" s="178"/>
      <c r="P155" s="227"/>
      <c r="Q155" s="201"/>
      <c r="R155" s="240"/>
      <c r="S155" s="231"/>
    </row>
    <row r="156" spans="1:19" s="57" customFormat="1" ht="18.75" customHeight="1">
      <c r="A156" s="245"/>
      <c r="B156" s="1185" t="s">
        <v>1617</v>
      </c>
      <c r="C156" s="1342"/>
      <c r="D156" s="1386"/>
      <c r="E156" s="977"/>
      <c r="F156" s="978">
        <f>SUM(F155)</f>
        <v>1125</v>
      </c>
      <c r="G156" s="980"/>
      <c r="H156" s="1242">
        <f>SUM(H155)</f>
        <v>0</v>
      </c>
      <c r="I156" s="979"/>
      <c r="J156" s="978">
        <f>SUM(J155)</f>
        <v>1125</v>
      </c>
      <c r="K156" s="980"/>
      <c r="L156" s="1242">
        <f>SUM(L155)</f>
        <v>0</v>
      </c>
      <c r="M156" s="979"/>
      <c r="N156" s="978">
        <f>SUM(N155)</f>
        <v>0</v>
      </c>
      <c r="O156" s="178"/>
      <c r="P156" s="227"/>
      <c r="Q156" s="201"/>
      <c r="R156" s="240"/>
      <c r="S156" s="231"/>
    </row>
    <row r="157" spans="1:19" s="57" customFormat="1" ht="36" customHeight="1">
      <c r="A157" s="237" t="s">
        <v>1727</v>
      </c>
      <c r="B157" s="1208" t="s">
        <v>192</v>
      </c>
      <c r="C157" s="1351"/>
      <c r="D157" s="1393"/>
      <c r="E157" s="981"/>
      <c r="F157" s="1013"/>
      <c r="G157" s="1014"/>
      <c r="H157" s="1264"/>
      <c r="I157" s="974"/>
      <c r="J157" s="1013"/>
      <c r="K157" s="1014"/>
      <c r="L157" s="1264"/>
      <c r="M157" s="974"/>
      <c r="N157" s="1013"/>
      <c r="O157" s="206"/>
      <c r="P157" s="228"/>
      <c r="Q157" s="223"/>
      <c r="R157" s="242"/>
      <c r="S157" s="230"/>
    </row>
    <row r="158" spans="1:19" s="57" customFormat="1" ht="18.75" customHeight="1" hidden="1">
      <c r="A158" s="235" t="s">
        <v>1652</v>
      </c>
      <c r="B158" s="1171" t="s">
        <v>130</v>
      </c>
      <c r="C158" s="1351"/>
      <c r="D158" s="1393"/>
      <c r="E158" s="981"/>
      <c r="F158" s="975">
        <v>0</v>
      </c>
      <c r="G158" s="1014"/>
      <c r="H158" s="1264"/>
      <c r="I158" s="974"/>
      <c r="J158" s="1013"/>
      <c r="K158" s="1014"/>
      <c r="L158" s="1264"/>
      <c r="M158" s="974"/>
      <c r="N158" s="1013"/>
      <c r="O158" s="206"/>
      <c r="P158" s="228"/>
      <c r="Q158" s="223"/>
      <c r="R158" s="242"/>
      <c r="S158" s="230"/>
    </row>
    <row r="159" spans="1:19" s="57" customFormat="1" ht="18.75" customHeight="1" hidden="1">
      <c r="A159" s="235" t="s">
        <v>1653</v>
      </c>
      <c r="B159" s="1203" t="s">
        <v>131</v>
      </c>
      <c r="C159" s="1351"/>
      <c r="D159" s="1393"/>
      <c r="E159" s="981"/>
      <c r="F159" s="975">
        <v>0</v>
      </c>
      <c r="G159" s="1014"/>
      <c r="H159" s="1264"/>
      <c r="I159" s="974"/>
      <c r="J159" s="1013"/>
      <c r="K159" s="1014"/>
      <c r="L159" s="1264"/>
      <c r="M159" s="974"/>
      <c r="N159" s="1013"/>
      <c r="O159" s="206"/>
      <c r="P159" s="228"/>
      <c r="Q159" s="223"/>
      <c r="R159" s="242"/>
      <c r="S159" s="230"/>
    </row>
    <row r="160" spans="1:19" s="57" customFormat="1" ht="18.75" customHeight="1">
      <c r="A160" s="235" t="s">
        <v>1654</v>
      </c>
      <c r="B160" s="1203" t="s">
        <v>132</v>
      </c>
      <c r="C160" s="1351"/>
      <c r="D160" s="1393"/>
      <c r="E160" s="981"/>
      <c r="F160" s="975"/>
      <c r="G160" s="1014"/>
      <c r="H160" s="1264"/>
      <c r="I160" s="974"/>
      <c r="J160" s="1013"/>
      <c r="K160" s="1014"/>
      <c r="L160" s="1264"/>
      <c r="M160" s="974"/>
      <c r="N160" s="1013"/>
      <c r="O160" s="206"/>
      <c r="P160" s="228"/>
      <c r="Q160" s="223"/>
      <c r="R160" s="242"/>
      <c r="S160" s="230"/>
    </row>
    <row r="161" spans="1:19" s="57" customFormat="1" ht="26.25" customHeight="1">
      <c r="A161" s="246" t="s">
        <v>1669</v>
      </c>
      <c r="B161" s="1192" t="s">
        <v>2252</v>
      </c>
      <c r="C161" s="1351" t="s">
        <v>1913</v>
      </c>
      <c r="D161" s="1393"/>
      <c r="E161" s="981"/>
      <c r="F161" s="975">
        <v>160</v>
      </c>
      <c r="G161" s="1014"/>
      <c r="H161" s="1258"/>
      <c r="I161" s="974"/>
      <c r="J161" s="975">
        <f>F161</f>
        <v>160</v>
      </c>
      <c r="K161" s="1014"/>
      <c r="L161" s="1258"/>
      <c r="M161" s="974"/>
      <c r="N161" s="975"/>
      <c r="O161" s="181" t="s">
        <v>2193</v>
      </c>
      <c r="P161" s="228"/>
      <c r="Q161" s="187" t="s">
        <v>2424</v>
      </c>
      <c r="R161" s="229" t="s">
        <v>2305</v>
      </c>
      <c r="S161" s="230"/>
    </row>
    <row r="162" spans="1:19" s="57" customFormat="1" ht="18.75" customHeight="1">
      <c r="A162" s="235"/>
      <c r="B162" s="1171" t="s">
        <v>1670</v>
      </c>
      <c r="C162" s="1338"/>
      <c r="D162" s="1381"/>
      <c r="E162" s="964"/>
      <c r="F162" s="965">
        <f>SUM(F161)</f>
        <v>160</v>
      </c>
      <c r="G162" s="1022"/>
      <c r="H162" s="1256">
        <f>SUM(H161)</f>
        <v>0</v>
      </c>
      <c r="I162" s="1021"/>
      <c r="J162" s="965">
        <f>SUM(J161)</f>
        <v>160</v>
      </c>
      <c r="K162" s="1022"/>
      <c r="L162" s="1256">
        <f>SUM(L161)</f>
        <v>0</v>
      </c>
      <c r="M162" s="1021"/>
      <c r="N162" s="965">
        <f>SUM(N161)</f>
        <v>0</v>
      </c>
      <c r="O162" s="206"/>
      <c r="P162" s="228"/>
      <c r="Q162" s="223"/>
      <c r="R162" s="229"/>
      <c r="S162" s="230"/>
    </row>
    <row r="163" spans="1:19" s="57" customFormat="1" ht="18.75" customHeight="1" hidden="1">
      <c r="A163" s="235" t="s">
        <v>1655</v>
      </c>
      <c r="B163" s="1184" t="s">
        <v>133</v>
      </c>
      <c r="C163" s="1229"/>
      <c r="D163" s="867"/>
      <c r="E163" s="869"/>
      <c r="F163" s="865">
        <v>0</v>
      </c>
      <c r="G163" s="866"/>
      <c r="H163" s="1238"/>
      <c r="I163" s="864"/>
      <c r="J163" s="889"/>
      <c r="K163" s="866"/>
      <c r="L163" s="1238"/>
      <c r="M163" s="864"/>
      <c r="N163" s="889"/>
      <c r="O163" s="178"/>
      <c r="P163" s="227"/>
      <c r="Q163" s="201"/>
      <c r="R163" s="214"/>
      <c r="S163" s="231"/>
    </row>
    <row r="164" spans="1:19" s="57" customFormat="1" ht="18.75" customHeight="1" hidden="1">
      <c r="A164" s="237" t="s">
        <v>1656</v>
      </c>
      <c r="B164" s="1203" t="s">
        <v>1759</v>
      </c>
      <c r="C164" s="1351"/>
      <c r="D164" s="1393"/>
      <c r="E164" s="981"/>
      <c r="F164" s="975">
        <v>0</v>
      </c>
      <c r="G164" s="1014"/>
      <c r="H164" s="1264"/>
      <c r="I164" s="974"/>
      <c r="J164" s="1013"/>
      <c r="K164" s="1014"/>
      <c r="L164" s="1264"/>
      <c r="M164" s="974"/>
      <c r="N164" s="1013"/>
      <c r="O164" s="206"/>
      <c r="P164" s="228"/>
      <c r="Q164" s="223"/>
      <c r="R164" s="229"/>
      <c r="S164" s="230"/>
    </row>
    <row r="165" spans="1:19" s="57" customFormat="1" ht="18.75" customHeight="1">
      <c r="A165" s="235" t="s">
        <v>1657</v>
      </c>
      <c r="B165" s="1203" t="s">
        <v>134</v>
      </c>
      <c r="C165" s="1351"/>
      <c r="D165" s="1393"/>
      <c r="E165" s="981"/>
      <c r="F165" s="975"/>
      <c r="G165" s="1014"/>
      <c r="H165" s="1264"/>
      <c r="I165" s="974"/>
      <c r="J165" s="1013"/>
      <c r="K165" s="1014"/>
      <c r="L165" s="1264"/>
      <c r="M165" s="974"/>
      <c r="N165" s="1013"/>
      <c r="O165" s="206"/>
      <c r="P165" s="228"/>
      <c r="Q165" s="223"/>
      <c r="R165" s="229"/>
      <c r="S165" s="230"/>
    </row>
    <row r="166" spans="1:19" s="57" customFormat="1" ht="24" customHeight="1">
      <c r="A166" s="246" t="s">
        <v>2182</v>
      </c>
      <c r="B166" s="1192" t="s">
        <v>2184</v>
      </c>
      <c r="C166" s="1351" t="s">
        <v>1913</v>
      </c>
      <c r="D166" s="1393"/>
      <c r="E166" s="981"/>
      <c r="F166" s="975">
        <v>315</v>
      </c>
      <c r="G166" s="1014"/>
      <c r="H166" s="1258"/>
      <c r="I166" s="974"/>
      <c r="J166" s="975">
        <f>F166</f>
        <v>315</v>
      </c>
      <c r="K166" s="1014"/>
      <c r="L166" s="1258"/>
      <c r="M166" s="974"/>
      <c r="N166" s="975"/>
      <c r="O166" s="181" t="s">
        <v>2193</v>
      </c>
      <c r="P166" s="228"/>
      <c r="Q166" s="187" t="s">
        <v>2424</v>
      </c>
      <c r="R166" s="229" t="s">
        <v>2306</v>
      </c>
      <c r="S166" s="230"/>
    </row>
    <row r="167" spans="1:19" s="57" customFormat="1" ht="18.75" customHeight="1">
      <c r="A167" s="235"/>
      <c r="B167" s="1171" t="s">
        <v>466</v>
      </c>
      <c r="C167" s="1352"/>
      <c r="D167" s="1394"/>
      <c r="E167" s="1015"/>
      <c r="F167" s="1016">
        <f>SUM(F166)</f>
        <v>315</v>
      </c>
      <c r="G167" s="1018"/>
      <c r="H167" s="1241">
        <f>SUM(H166)</f>
        <v>0</v>
      </c>
      <c r="I167" s="1017"/>
      <c r="J167" s="1016">
        <f>SUM(J166)</f>
        <v>315</v>
      </c>
      <c r="K167" s="1018"/>
      <c r="L167" s="1241">
        <f>SUM(L166)</f>
        <v>0</v>
      </c>
      <c r="M167" s="1017"/>
      <c r="N167" s="1016">
        <f>SUM(N166)</f>
        <v>0</v>
      </c>
      <c r="O167" s="178"/>
      <c r="P167" s="227"/>
      <c r="Q167" s="201"/>
      <c r="R167" s="240"/>
      <c r="S167" s="231"/>
    </row>
    <row r="168" spans="1:19" s="57" customFormat="1" ht="18.75" customHeight="1">
      <c r="A168" s="237" t="s">
        <v>1618</v>
      </c>
      <c r="B168" s="1189" t="s">
        <v>173</v>
      </c>
      <c r="C168" s="1351"/>
      <c r="D168" s="1393"/>
      <c r="E168" s="981"/>
      <c r="F168" s="975"/>
      <c r="G168" s="1014"/>
      <c r="H168" s="1264"/>
      <c r="I168" s="974"/>
      <c r="J168" s="1013"/>
      <c r="K168" s="1014"/>
      <c r="L168" s="1264"/>
      <c r="M168" s="974"/>
      <c r="N168" s="1013"/>
      <c r="O168" s="206"/>
      <c r="P168" s="228"/>
      <c r="Q168" s="223"/>
      <c r="R168" s="242"/>
      <c r="S168" s="230"/>
    </row>
    <row r="169" spans="1:19" s="57" customFormat="1" ht="25.5" customHeight="1">
      <c r="A169" s="180" t="s">
        <v>1619</v>
      </c>
      <c r="B169" s="1159" t="s">
        <v>656</v>
      </c>
      <c r="C169" s="1229" t="s">
        <v>1913</v>
      </c>
      <c r="D169" s="1396">
        <f>F169/E169</f>
        <v>1000</v>
      </c>
      <c r="E169" s="1023">
        <v>1</v>
      </c>
      <c r="F169" s="1005">
        <v>1000</v>
      </c>
      <c r="G169" s="866"/>
      <c r="H169" s="1153"/>
      <c r="I169" s="864">
        <f>E169</f>
        <v>1</v>
      </c>
      <c r="J169" s="865">
        <f>F169</f>
        <v>1000</v>
      </c>
      <c r="K169" s="866"/>
      <c r="L169" s="1292"/>
      <c r="M169" s="864"/>
      <c r="N169" s="999"/>
      <c r="O169" s="181" t="s">
        <v>2193</v>
      </c>
      <c r="P169" s="227"/>
      <c r="Q169" s="1659" t="s">
        <v>2425</v>
      </c>
      <c r="R169" s="1662" t="s">
        <v>2307</v>
      </c>
      <c r="S169" s="231"/>
    </row>
    <row r="170" spans="1:19" s="57" customFormat="1" ht="25.5" customHeight="1">
      <c r="A170" s="180" t="s">
        <v>2374</v>
      </c>
      <c r="B170" s="1190" t="s">
        <v>2183</v>
      </c>
      <c r="C170" s="1229" t="s">
        <v>1913</v>
      </c>
      <c r="D170" s="853">
        <v>42.87</v>
      </c>
      <c r="E170" s="247">
        <v>10</v>
      </c>
      <c r="F170" s="236">
        <f>D170*E170</f>
        <v>428.7</v>
      </c>
      <c r="G170" s="1072"/>
      <c r="H170" s="1265"/>
      <c r="I170" s="1070">
        <f>E170</f>
        <v>10</v>
      </c>
      <c r="J170" s="1071">
        <f>F170</f>
        <v>428.7</v>
      </c>
      <c r="K170" s="1072"/>
      <c r="L170" s="1293"/>
      <c r="M170" s="1070"/>
      <c r="N170" s="1073"/>
      <c r="O170" s="181" t="s">
        <v>2193</v>
      </c>
      <c r="P170" s="227"/>
      <c r="Q170" s="1660"/>
      <c r="R170" s="1663"/>
      <c r="S170" s="231"/>
    </row>
    <row r="171" spans="1:19" s="1160" customFormat="1" ht="30.75" customHeight="1">
      <c r="A171" s="180" t="s">
        <v>2350</v>
      </c>
      <c r="B171" s="1209" t="s">
        <v>2183</v>
      </c>
      <c r="C171" s="1229" t="s">
        <v>1913</v>
      </c>
      <c r="D171" s="1397"/>
      <c r="E171" s="1023"/>
      <c r="F171" s="1003">
        <v>97.44</v>
      </c>
      <c r="G171" s="866"/>
      <c r="H171" s="1153"/>
      <c r="I171" s="864"/>
      <c r="J171" s="865"/>
      <c r="K171" s="866"/>
      <c r="L171" s="1294">
        <v>97.44</v>
      </c>
      <c r="M171" s="864"/>
      <c r="N171" s="999"/>
      <c r="O171" s="287" t="s">
        <v>2318</v>
      </c>
      <c r="P171" s="227"/>
      <c r="Q171" s="1661"/>
      <c r="R171" s="1664"/>
      <c r="S171" s="231"/>
    </row>
    <row r="172" spans="1:19" s="57" customFormat="1" ht="24.75" customHeight="1">
      <c r="A172" s="248"/>
      <c r="B172" s="1171" t="s">
        <v>1620</v>
      </c>
      <c r="C172" s="1352"/>
      <c r="D172" s="1394"/>
      <c r="E172" s="1015"/>
      <c r="F172" s="1016">
        <f>SUM(F169:F171)</f>
        <v>1526.14</v>
      </c>
      <c r="G172" s="1018"/>
      <c r="H172" s="1241">
        <f>SUM(H169:H171)</f>
        <v>0</v>
      </c>
      <c r="I172" s="1017"/>
      <c r="J172" s="1016">
        <f>SUM(J169:J171)</f>
        <v>1428.7</v>
      </c>
      <c r="K172" s="1018"/>
      <c r="L172" s="1241">
        <f>SUM(L169:L171)</f>
        <v>97.44</v>
      </c>
      <c r="M172" s="1017"/>
      <c r="N172" s="1016">
        <f>SUM(N169:N171)</f>
        <v>0</v>
      </c>
      <c r="O172" s="178"/>
      <c r="P172" s="227"/>
      <c r="Q172" s="201"/>
      <c r="R172" s="240"/>
      <c r="S172" s="231"/>
    </row>
    <row r="173" spans="1:19" s="57" customFormat="1" ht="18.75" customHeight="1" thickBot="1">
      <c r="A173" s="249"/>
      <c r="B173" s="1210" t="s">
        <v>1621</v>
      </c>
      <c r="C173" s="1353"/>
      <c r="D173" s="1398"/>
      <c r="E173" s="1024"/>
      <c r="F173" s="1025">
        <f>F158+F159+F162+F163+F164+F167+F172</f>
        <v>2001.14</v>
      </c>
      <c r="G173" s="1036"/>
      <c r="H173" s="1266">
        <f>H158+H159+H162+H163+H164+H167+H172</f>
        <v>0</v>
      </c>
      <c r="I173" s="1283"/>
      <c r="J173" s="1027">
        <f>J158+J159+J162+J163+J164+J167+J172</f>
        <v>1903.7</v>
      </c>
      <c r="K173" s="1028"/>
      <c r="L173" s="1266">
        <f>L158+L159+L162+L163+L164+L167+L172</f>
        <v>97.44</v>
      </c>
      <c r="M173" s="1283"/>
      <c r="N173" s="1027">
        <f>N158+N159+N162+N163+N164+N167+N172</f>
        <v>0</v>
      </c>
      <c r="O173" s="206"/>
      <c r="P173" s="228"/>
      <c r="Q173" s="223"/>
      <c r="R173" s="242"/>
      <c r="S173" s="230"/>
    </row>
    <row r="174" spans="1:19" s="53" customFormat="1" ht="23.25" customHeight="1" thickBot="1">
      <c r="A174" s="233" t="s">
        <v>1622</v>
      </c>
      <c r="B174" s="1200"/>
      <c r="C174" s="1345"/>
      <c r="D174" s="992"/>
      <c r="E174" s="991"/>
      <c r="F174" s="956">
        <f>F156+F151+F173</f>
        <v>4372.9400000000005</v>
      </c>
      <c r="G174" s="993"/>
      <c r="H174" s="1261">
        <f>H156+H151+H173</f>
        <v>0</v>
      </c>
      <c r="I174" s="1031"/>
      <c r="J174" s="1030">
        <f>J156+J151+J173</f>
        <v>3107.3</v>
      </c>
      <c r="K174" s="1029"/>
      <c r="L174" s="1295">
        <f>L156+L151+L173</f>
        <v>675.6400000000001</v>
      </c>
      <c r="M174" s="1031"/>
      <c r="N174" s="1030">
        <f>N156+N151+N173</f>
        <v>590</v>
      </c>
      <c r="O174" s="178"/>
      <c r="P174" s="227"/>
      <c r="Q174" s="201"/>
      <c r="R174" s="179"/>
      <c r="S174" s="198"/>
    </row>
    <row r="175" spans="1:19" s="53" customFormat="1" ht="24" customHeight="1" thickBot="1">
      <c r="A175" s="1058" t="s">
        <v>1623</v>
      </c>
      <c r="B175" s="1211"/>
      <c r="C175" s="1354"/>
      <c r="D175" s="1061"/>
      <c r="E175" s="1059"/>
      <c r="F175" s="1060"/>
      <c r="G175" s="1062"/>
      <c r="H175" s="1267"/>
      <c r="I175" s="1061"/>
      <c r="J175" s="1060"/>
      <c r="K175" s="1062"/>
      <c r="L175" s="1267"/>
      <c r="M175" s="1061"/>
      <c r="N175" s="1060"/>
      <c r="O175" s="178"/>
      <c r="P175" s="227"/>
      <c r="Q175" s="201"/>
      <c r="R175" s="179"/>
      <c r="S175" s="198"/>
    </row>
    <row r="176" spans="1:19" s="53" customFormat="1" ht="19.5" customHeight="1">
      <c r="A176" s="1063" t="s">
        <v>100</v>
      </c>
      <c r="B176" s="1212" t="s">
        <v>2117</v>
      </c>
      <c r="C176" s="1355"/>
      <c r="D176" s="1399"/>
      <c r="E176" s="1064"/>
      <c r="F176" s="1065"/>
      <c r="G176" s="1068"/>
      <c r="H176" s="1243"/>
      <c r="I176" s="1066"/>
      <c r="J176" s="1067"/>
      <c r="K176" s="1068"/>
      <c r="L176" s="1243"/>
      <c r="M176" s="1066"/>
      <c r="N176" s="1067"/>
      <c r="O176" s="178"/>
      <c r="P176" s="227"/>
      <c r="Q176" s="201"/>
      <c r="R176" s="179"/>
      <c r="S176" s="198"/>
    </row>
    <row r="177" spans="1:19" s="53" customFormat="1" ht="24" customHeight="1" thickBot="1">
      <c r="A177" s="1069" t="s">
        <v>101</v>
      </c>
      <c r="B177" s="1205" t="s">
        <v>181</v>
      </c>
      <c r="C177" s="1356"/>
      <c r="D177" s="1400"/>
      <c r="E177" s="1035"/>
      <c r="F177" s="1032"/>
      <c r="G177" s="1034"/>
      <c r="H177" s="1268"/>
      <c r="I177" s="1033"/>
      <c r="J177" s="929"/>
      <c r="K177" s="1034"/>
      <c r="L177" s="1268"/>
      <c r="M177" s="1033"/>
      <c r="N177" s="929"/>
      <c r="O177" s="178"/>
      <c r="P177" s="227"/>
      <c r="Q177" s="201"/>
      <c r="R177" s="179"/>
      <c r="S177" s="198"/>
    </row>
    <row r="178" spans="1:19" s="53" customFormat="1" ht="51" customHeight="1" thickBot="1">
      <c r="A178" s="1288" t="s">
        <v>1624</v>
      </c>
      <c r="B178" s="1213" t="s">
        <v>2351</v>
      </c>
      <c r="C178" s="1330" t="s">
        <v>1732</v>
      </c>
      <c r="D178" s="1401">
        <v>133.33</v>
      </c>
      <c r="E178" s="981">
        <f>F178/D178</f>
        <v>0.026550663766594162</v>
      </c>
      <c r="F178" s="975">
        <v>3.54</v>
      </c>
      <c r="G178" s="900"/>
      <c r="H178" s="1249"/>
      <c r="I178" s="899"/>
      <c r="J178" s="901"/>
      <c r="K178" s="1014">
        <f>E178</f>
        <v>0.026550663766594162</v>
      </c>
      <c r="L178" s="1249">
        <f>F178-H178-J178</f>
        <v>3.54</v>
      </c>
      <c r="M178" s="899"/>
      <c r="N178" s="901"/>
      <c r="O178" s="181" t="s">
        <v>2318</v>
      </c>
      <c r="P178" s="250"/>
      <c r="Q178" s="1659" t="s">
        <v>2426</v>
      </c>
      <c r="R178" s="1161"/>
      <c r="S178" s="1162"/>
    </row>
    <row r="179" spans="1:19" s="53" customFormat="1" ht="51" customHeight="1" thickBot="1">
      <c r="A179" s="253" t="s">
        <v>1625</v>
      </c>
      <c r="B179" s="1172" t="s">
        <v>2352</v>
      </c>
      <c r="C179" s="1357" t="s">
        <v>1732</v>
      </c>
      <c r="D179" s="1168">
        <v>141.6</v>
      </c>
      <c r="E179" s="869">
        <f>F179/D179</f>
        <v>0.08799435028248588</v>
      </c>
      <c r="F179" s="865">
        <v>12.46</v>
      </c>
      <c r="G179" s="878"/>
      <c r="H179" s="1235"/>
      <c r="I179" s="877"/>
      <c r="J179" s="876"/>
      <c r="K179" s="1014">
        <f>E179</f>
        <v>0.08799435028248588</v>
      </c>
      <c r="L179" s="1249">
        <f>F179-H179-J179</f>
        <v>12.46</v>
      </c>
      <c r="M179" s="877"/>
      <c r="N179" s="876"/>
      <c r="O179" s="181" t="s">
        <v>2318</v>
      </c>
      <c r="P179" s="1163"/>
      <c r="Q179" s="1718"/>
      <c r="R179" s="186"/>
      <c r="S179" s="1164"/>
    </row>
    <row r="180" spans="1:19" s="53" customFormat="1" ht="25.5" customHeight="1" hidden="1">
      <c r="A180" s="253"/>
      <c r="B180" s="1172"/>
      <c r="C180" s="1331"/>
      <c r="D180" s="1168"/>
      <c r="E180" s="898"/>
      <c r="F180" s="865"/>
      <c r="G180" s="885"/>
      <c r="H180" s="1235"/>
      <c r="I180" s="884"/>
      <c r="J180" s="876"/>
      <c r="K180" s="866"/>
      <c r="L180" s="1235"/>
      <c r="M180" s="877"/>
      <c r="N180" s="876"/>
      <c r="O180" s="181"/>
      <c r="P180" s="228"/>
      <c r="Q180" s="187"/>
      <c r="R180" s="186"/>
      <c r="S180" s="225"/>
    </row>
    <row r="181" spans="1:19" s="53" customFormat="1" ht="19.5" customHeight="1">
      <c r="A181" s="226"/>
      <c r="B181" s="1171" t="s">
        <v>1626</v>
      </c>
      <c r="C181" s="1352"/>
      <c r="D181" s="1394"/>
      <c r="E181" s="1015"/>
      <c r="F181" s="1016">
        <f>SUM(F178:F180)</f>
        <v>16</v>
      </c>
      <c r="G181" s="1018"/>
      <c r="H181" s="1241">
        <f>SUM(H178:H180)</f>
        <v>0</v>
      </c>
      <c r="I181" s="1017"/>
      <c r="J181" s="1016">
        <f>SUM(J178:J180)</f>
        <v>0</v>
      </c>
      <c r="K181" s="1018"/>
      <c r="L181" s="1241">
        <f>SUM(L178:L180)</f>
        <v>16</v>
      </c>
      <c r="M181" s="1017"/>
      <c r="N181" s="1016">
        <f>SUM(N178:N180)</f>
        <v>0</v>
      </c>
      <c r="O181" s="178"/>
      <c r="P181" s="227"/>
      <c r="Q181" s="179"/>
      <c r="R181" s="201"/>
      <c r="S181" s="198"/>
    </row>
    <row r="182" spans="1:19" s="53" customFormat="1" ht="19.5" customHeight="1">
      <c r="A182" s="168" t="s">
        <v>670</v>
      </c>
      <c r="B182" s="1171" t="s">
        <v>139</v>
      </c>
      <c r="C182" s="1229"/>
      <c r="D182" s="867"/>
      <c r="E182" s="869"/>
      <c r="F182" s="889"/>
      <c r="G182" s="866"/>
      <c r="H182" s="1238"/>
      <c r="I182" s="864"/>
      <c r="J182" s="889"/>
      <c r="K182" s="866"/>
      <c r="L182" s="1238"/>
      <c r="M182" s="864"/>
      <c r="N182" s="889"/>
      <c r="O182" s="178"/>
      <c r="P182" s="227"/>
      <c r="Q182" s="179"/>
      <c r="R182" s="201"/>
      <c r="S182" s="198"/>
    </row>
    <row r="183" spans="1:19" s="53" customFormat="1" ht="22.5" customHeight="1">
      <c r="A183" s="180" t="s">
        <v>671</v>
      </c>
      <c r="B183" s="151" t="s">
        <v>2196</v>
      </c>
      <c r="C183" s="1331" t="s">
        <v>1732</v>
      </c>
      <c r="D183" s="867">
        <v>350</v>
      </c>
      <c r="E183" s="869">
        <v>1</v>
      </c>
      <c r="F183" s="865">
        <f>D183*E183</f>
        <v>350</v>
      </c>
      <c r="G183" s="866"/>
      <c r="H183" s="1153"/>
      <c r="I183" s="864">
        <f>E183</f>
        <v>1</v>
      </c>
      <c r="J183" s="865">
        <f>F183</f>
        <v>350</v>
      </c>
      <c r="K183" s="866"/>
      <c r="L183" s="1153"/>
      <c r="M183" s="864"/>
      <c r="N183" s="865"/>
      <c r="O183" s="181" t="s">
        <v>2193</v>
      </c>
      <c r="P183" s="227"/>
      <c r="Q183" s="179" t="s">
        <v>2426</v>
      </c>
      <c r="R183" s="179" t="s">
        <v>2308</v>
      </c>
      <c r="S183" s="198"/>
    </row>
    <row r="184" spans="1:19" s="53" customFormat="1" ht="19.5" customHeight="1">
      <c r="A184" s="226"/>
      <c r="B184" s="1171" t="s">
        <v>672</v>
      </c>
      <c r="C184" s="1352"/>
      <c r="D184" s="1394"/>
      <c r="E184" s="1015"/>
      <c r="F184" s="1016">
        <f>SUM(F183)</f>
        <v>350</v>
      </c>
      <c r="G184" s="1018"/>
      <c r="H184" s="1241">
        <f>SUM(H183)</f>
        <v>0</v>
      </c>
      <c r="I184" s="1017"/>
      <c r="J184" s="1016">
        <f>SUM(J183)</f>
        <v>350</v>
      </c>
      <c r="K184" s="1018"/>
      <c r="L184" s="1241">
        <f>SUM(L183)</f>
        <v>0</v>
      </c>
      <c r="M184" s="1017"/>
      <c r="N184" s="1016">
        <f>SUM(N183)</f>
        <v>0</v>
      </c>
      <c r="O184" s="178"/>
      <c r="P184" s="227"/>
      <c r="Q184" s="179"/>
      <c r="R184" s="201"/>
      <c r="S184" s="198"/>
    </row>
    <row r="185" spans="1:19" s="53" customFormat="1" ht="38.25" customHeight="1" hidden="1">
      <c r="A185" s="168" t="s">
        <v>673</v>
      </c>
      <c r="B185" s="1171" t="s">
        <v>140</v>
      </c>
      <c r="C185" s="1229"/>
      <c r="D185" s="867"/>
      <c r="E185" s="869"/>
      <c r="F185" s="889"/>
      <c r="G185" s="866"/>
      <c r="H185" s="1238"/>
      <c r="I185" s="864"/>
      <c r="J185" s="889"/>
      <c r="K185" s="866"/>
      <c r="L185" s="1238"/>
      <c r="M185" s="864"/>
      <c r="N185" s="889"/>
      <c r="O185" s="178"/>
      <c r="P185" s="227"/>
      <c r="Q185" s="179"/>
      <c r="R185" s="201"/>
      <c r="S185" s="198"/>
    </row>
    <row r="186" spans="1:19" s="53" customFormat="1" ht="19.5" customHeight="1" hidden="1">
      <c r="A186" s="180"/>
      <c r="B186" s="251"/>
      <c r="C186" s="1331"/>
      <c r="D186" s="867"/>
      <c r="E186" s="869"/>
      <c r="F186" s="865"/>
      <c r="G186" s="866"/>
      <c r="H186" s="1153"/>
      <c r="I186" s="864"/>
      <c r="J186" s="889"/>
      <c r="K186" s="866"/>
      <c r="L186" s="1153"/>
      <c r="M186" s="864"/>
      <c r="N186" s="889"/>
      <c r="O186" s="181"/>
      <c r="P186" s="227"/>
      <c r="Q186" s="179"/>
      <c r="R186" s="201"/>
      <c r="S186" s="198"/>
    </row>
    <row r="187" spans="1:19" s="53" customFormat="1" ht="19.5" customHeight="1" hidden="1">
      <c r="A187" s="226"/>
      <c r="B187" s="1171" t="s">
        <v>674</v>
      </c>
      <c r="C187" s="1352"/>
      <c r="D187" s="1394"/>
      <c r="E187" s="1015"/>
      <c r="F187" s="1016">
        <f>SUM(F186)</f>
        <v>0</v>
      </c>
      <c r="G187" s="1018"/>
      <c r="H187" s="1241">
        <f>SUM(H186)</f>
        <v>0</v>
      </c>
      <c r="I187" s="1017"/>
      <c r="J187" s="1016">
        <f>SUM(J186)</f>
        <v>0</v>
      </c>
      <c r="K187" s="1018"/>
      <c r="L187" s="1241">
        <f>SUM(L186)</f>
        <v>0</v>
      </c>
      <c r="M187" s="1017"/>
      <c r="N187" s="1016">
        <f>SUM(N186)</f>
        <v>0</v>
      </c>
      <c r="O187" s="178"/>
      <c r="P187" s="227"/>
      <c r="Q187" s="179"/>
      <c r="R187" s="201"/>
      <c r="S187" s="198"/>
    </row>
    <row r="188" spans="1:19" s="53" customFormat="1" ht="17.25" customHeight="1" thickBot="1">
      <c r="A188" s="226"/>
      <c r="B188" s="1185" t="s">
        <v>1627</v>
      </c>
      <c r="C188" s="1342"/>
      <c r="D188" s="1386"/>
      <c r="E188" s="977"/>
      <c r="F188" s="978">
        <f>F181+F184+F187</f>
        <v>366</v>
      </c>
      <c r="G188" s="980"/>
      <c r="H188" s="1242">
        <f>H181+H184+H187</f>
        <v>0</v>
      </c>
      <c r="I188" s="979"/>
      <c r="J188" s="978">
        <f>J181+J184+J187</f>
        <v>350</v>
      </c>
      <c r="K188" s="980"/>
      <c r="L188" s="1242">
        <f>L181+L184+L187</f>
        <v>16</v>
      </c>
      <c r="M188" s="979"/>
      <c r="N188" s="978">
        <f>N181+N184+N187</f>
        <v>0</v>
      </c>
      <c r="O188" s="178"/>
      <c r="P188" s="227"/>
      <c r="Q188" s="179"/>
      <c r="R188" s="201"/>
      <c r="S188" s="198"/>
    </row>
    <row r="189" spans="1:19" s="53" customFormat="1" ht="18.75" customHeight="1" hidden="1">
      <c r="A189" s="168" t="s">
        <v>102</v>
      </c>
      <c r="B189" s="1185" t="s">
        <v>2096</v>
      </c>
      <c r="C189" s="1229"/>
      <c r="D189" s="867"/>
      <c r="E189" s="869"/>
      <c r="F189" s="889"/>
      <c r="G189" s="866"/>
      <c r="H189" s="1238"/>
      <c r="I189" s="864"/>
      <c r="J189" s="889"/>
      <c r="K189" s="866"/>
      <c r="L189" s="1238"/>
      <c r="M189" s="864"/>
      <c r="N189" s="889"/>
      <c r="O189" s="178"/>
      <c r="P189" s="227"/>
      <c r="Q189" s="179"/>
      <c r="R189" s="201"/>
      <c r="S189" s="198"/>
    </row>
    <row r="190" spans="1:19" s="53" customFormat="1" ht="18.75" customHeight="1" hidden="1">
      <c r="A190" s="205"/>
      <c r="B190" s="1213"/>
      <c r="C190" s="1351"/>
      <c r="D190" s="1393"/>
      <c r="E190" s="981"/>
      <c r="F190" s="1013"/>
      <c r="G190" s="1014"/>
      <c r="H190" s="1264"/>
      <c r="I190" s="974"/>
      <c r="J190" s="1013"/>
      <c r="K190" s="1014"/>
      <c r="L190" s="1264"/>
      <c r="M190" s="974"/>
      <c r="N190" s="1013"/>
      <c r="O190" s="178"/>
      <c r="P190" s="227"/>
      <c r="Q190" s="179"/>
      <c r="R190" s="201"/>
      <c r="S190" s="198"/>
    </row>
    <row r="191" spans="1:19" s="53" customFormat="1" ht="32.25" customHeight="1" hidden="1">
      <c r="A191" s="252"/>
      <c r="B191" s="1214"/>
      <c r="C191" s="1331"/>
      <c r="D191" s="1393"/>
      <c r="E191" s="981"/>
      <c r="F191" s="975"/>
      <c r="G191" s="1014"/>
      <c r="H191" s="1258"/>
      <c r="I191" s="974"/>
      <c r="J191" s="1013"/>
      <c r="K191" s="1014"/>
      <c r="L191" s="1258"/>
      <c r="M191" s="974"/>
      <c r="N191" s="1013"/>
      <c r="O191" s="181"/>
      <c r="P191" s="227"/>
      <c r="Q191" s="1659"/>
      <c r="R191" s="201"/>
      <c r="S191" s="198"/>
    </row>
    <row r="192" spans="1:19" s="53" customFormat="1" ht="33" customHeight="1" hidden="1">
      <c r="A192" s="252"/>
      <c r="B192" s="1214"/>
      <c r="C192" s="1331"/>
      <c r="D192" s="1393"/>
      <c r="E192" s="981"/>
      <c r="F192" s="975"/>
      <c r="G192" s="1014"/>
      <c r="H192" s="1258"/>
      <c r="I192" s="974"/>
      <c r="J192" s="1013"/>
      <c r="K192" s="1014"/>
      <c r="L192" s="1258"/>
      <c r="M192" s="974"/>
      <c r="N192" s="1013"/>
      <c r="O192" s="181"/>
      <c r="P192" s="227"/>
      <c r="Q192" s="1660"/>
      <c r="R192" s="201"/>
      <c r="S192" s="198"/>
    </row>
    <row r="193" spans="1:19" s="53" customFormat="1" ht="33.75" customHeight="1" hidden="1">
      <c r="A193" s="252"/>
      <c r="B193" s="1214"/>
      <c r="C193" s="1331"/>
      <c r="D193" s="1393"/>
      <c r="E193" s="981"/>
      <c r="F193" s="975"/>
      <c r="G193" s="1014"/>
      <c r="H193" s="1258"/>
      <c r="I193" s="974"/>
      <c r="J193" s="1013"/>
      <c r="K193" s="1014"/>
      <c r="L193" s="1258"/>
      <c r="M193" s="974"/>
      <c r="N193" s="1013"/>
      <c r="O193" s="181"/>
      <c r="P193" s="227"/>
      <c r="Q193" s="1660"/>
      <c r="R193" s="201"/>
      <c r="S193" s="198"/>
    </row>
    <row r="194" spans="1:19" s="53" customFormat="1" ht="32.25" customHeight="1" hidden="1">
      <c r="A194" s="252"/>
      <c r="B194" s="1214"/>
      <c r="C194" s="1331"/>
      <c r="D194" s="1393"/>
      <c r="E194" s="981"/>
      <c r="F194" s="975"/>
      <c r="G194" s="1014"/>
      <c r="H194" s="1258"/>
      <c r="I194" s="974"/>
      <c r="J194" s="1013"/>
      <c r="K194" s="1014"/>
      <c r="L194" s="1258"/>
      <c r="M194" s="974"/>
      <c r="N194" s="1013"/>
      <c r="O194" s="181"/>
      <c r="P194" s="227"/>
      <c r="Q194" s="1660"/>
      <c r="R194" s="201"/>
      <c r="S194" s="198"/>
    </row>
    <row r="195" spans="1:19" s="53" customFormat="1" ht="34.5" customHeight="1" hidden="1">
      <c r="A195" s="252"/>
      <c r="B195" s="1214"/>
      <c r="C195" s="1331"/>
      <c r="D195" s="1393"/>
      <c r="E195" s="981"/>
      <c r="F195" s="975"/>
      <c r="G195" s="1014"/>
      <c r="H195" s="1258"/>
      <c r="I195" s="974"/>
      <c r="J195" s="1013"/>
      <c r="K195" s="1014"/>
      <c r="L195" s="1258"/>
      <c r="M195" s="974"/>
      <c r="N195" s="1013"/>
      <c r="O195" s="181"/>
      <c r="P195" s="227"/>
      <c r="Q195" s="1660"/>
      <c r="R195" s="201"/>
      <c r="S195" s="198"/>
    </row>
    <row r="196" spans="1:19" s="53" customFormat="1" ht="17.25" customHeight="1" hidden="1">
      <c r="A196" s="252"/>
      <c r="B196" s="1215"/>
      <c r="C196" s="1331"/>
      <c r="D196" s="1393"/>
      <c r="E196" s="981"/>
      <c r="F196" s="975"/>
      <c r="G196" s="1014"/>
      <c r="H196" s="1258"/>
      <c r="I196" s="974"/>
      <c r="J196" s="1013"/>
      <c r="K196" s="1014"/>
      <c r="L196" s="1258"/>
      <c r="M196" s="974"/>
      <c r="N196" s="1013"/>
      <c r="O196" s="181"/>
      <c r="P196" s="227"/>
      <c r="Q196" s="1661"/>
      <c r="R196" s="201"/>
      <c r="S196" s="198"/>
    </row>
    <row r="197" spans="1:19" s="53" customFormat="1" ht="18" customHeight="1" hidden="1">
      <c r="A197" s="226"/>
      <c r="B197" s="1185" t="s">
        <v>675</v>
      </c>
      <c r="C197" s="1342"/>
      <c r="D197" s="1386"/>
      <c r="E197" s="977"/>
      <c r="F197" s="978">
        <f>SUM(F191:F196)</f>
        <v>0</v>
      </c>
      <c r="G197" s="980"/>
      <c r="H197" s="1242">
        <f>SUM(H191:H196)</f>
        <v>0</v>
      </c>
      <c r="I197" s="979"/>
      <c r="J197" s="978">
        <f>SUM(J191:J196)</f>
        <v>0</v>
      </c>
      <c r="K197" s="980"/>
      <c r="L197" s="1242">
        <f>SUM(L191:L196)</f>
        <v>0</v>
      </c>
      <c r="M197" s="979"/>
      <c r="N197" s="978">
        <f>SUM(N191:N196)</f>
        <v>0</v>
      </c>
      <c r="O197" s="178"/>
      <c r="P197" s="227"/>
      <c r="Q197" s="179"/>
      <c r="R197" s="201"/>
      <c r="S197" s="198"/>
    </row>
    <row r="198" spans="1:19" s="53" customFormat="1" ht="17.25" customHeight="1" hidden="1">
      <c r="A198" s="168" t="s">
        <v>676</v>
      </c>
      <c r="B198" s="1185" t="s">
        <v>2088</v>
      </c>
      <c r="C198" s="1229"/>
      <c r="D198" s="867"/>
      <c r="E198" s="869"/>
      <c r="F198" s="889"/>
      <c r="G198" s="866"/>
      <c r="H198" s="1238"/>
      <c r="I198" s="864"/>
      <c r="J198" s="889"/>
      <c r="K198" s="866"/>
      <c r="L198" s="1238"/>
      <c r="M198" s="864"/>
      <c r="N198" s="889"/>
      <c r="O198" s="206"/>
      <c r="P198" s="228"/>
      <c r="Q198" s="187"/>
      <c r="R198" s="223"/>
      <c r="S198" s="225"/>
    </row>
    <row r="199" spans="1:19" s="53" customFormat="1" ht="17.25" customHeight="1" hidden="1">
      <c r="A199" s="253"/>
      <c r="B199" s="1172"/>
      <c r="C199" s="1328"/>
      <c r="D199" s="867"/>
      <c r="E199" s="869"/>
      <c r="F199" s="865"/>
      <c r="G199" s="866"/>
      <c r="H199" s="1153"/>
      <c r="I199" s="864"/>
      <c r="J199" s="889"/>
      <c r="K199" s="866"/>
      <c r="L199" s="1153"/>
      <c r="M199" s="864"/>
      <c r="N199" s="889"/>
      <c r="O199" s="181"/>
      <c r="P199" s="227"/>
      <c r="Q199" s="179"/>
      <c r="R199" s="201"/>
      <c r="S199" s="198"/>
    </row>
    <row r="200" spans="1:19" s="53" customFormat="1" ht="17.25" customHeight="1" hidden="1" thickBot="1">
      <c r="A200" s="254"/>
      <c r="B200" s="1193" t="s">
        <v>677</v>
      </c>
      <c r="C200" s="1353"/>
      <c r="D200" s="1398"/>
      <c r="E200" s="1024"/>
      <c r="F200" s="1025">
        <f>SUM(F199)</f>
        <v>0</v>
      </c>
      <c r="G200" s="1036"/>
      <c r="H200" s="1269">
        <f>SUM(H199)</f>
        <v>0</v>
      </c>
      <c r="I200" s="1026"/>
      <c r="J200" s="1025">
        <f>SUM(J199)</f>
        <v>0</v>
      </c>
      <c r="K200" s="1036"/>
      <c r="L200" s="1269">
        <f>SUM(L199)</f>
        <v>0</v>
      </c>
      <c r="M200" s="1026"/>
      <c r="N200" s="1025">
        <f>SUM(N199)</f>
        <v>0</v>
      </c>
      <c r="O200" s="206"/>
      <c r="P200" s="228"/>
      <c r="Q200" s="187"/>
      <c r="R200" s="223"/>
      <c r="S200" s="225"/>
    </row>
    <row r="201" spans="1:19" s="53" customFormat="1" ht="21" customHeight="1" thickBot="1">
      <c r="A201" s="233" t="s">
        <v>1634</v>
      </c>
      <c r="B201" s="1200"/>
      <c r="C201" s="1345"/>
      <c r="D201" s="992"/>
      <c r="E201" s="991"/>
      <c r="F201" s="956">
        <f>F188+F197+F200</f>
        <v>366</v>
      </c>
      <c r="G201" s="993"/>
      <c r="H201" s="1261">
        <f>H188+H197+H200</f>
        <v>0</v>
      </c>
      <c r="I201" s="992"/>
      <c r="J201" s="956">
        <f>J188+J197+J200</f>
        <v>350</v>
      </c>
      <c r="K201" s="993"/>
      <c r="L201" s="1261">
        <f>L188+L197+L200</f>
        <v>16</v>
      </c>
      <c r="M201" s="992"/>
      <c r="N201" s="956">
        <f>N188+N197+N200</f>
        <v>0</v>
      </c>
      <c r="O201" s="255"/>
      <c r="P201" s="227"/>
      <c r="Q201" s="201"/>
      <c r="R201" s="179"/>
      <c r="S201" s="198"/>
    </row>
    <row r="202" spans="1:19" ht="24" customHeight="1">
      <c r="A202" s="234" t="s">
        <v>1628</v>
      </c>
      <c r="B202" s="1201"/>
      <c r="C202" s="1346"/>
      <c r="D202" s="996"/>
      <c r="E202" s="994"/>
      <c r="F202" s="995"/>
      <c r="G202" s="997"/>
      <c r="H202" s="1262"/>
      <c r="I202" s="996"/>
      <c r="J202" s="995"/>
      <c r="K202" s="997"/>
      <c r="L202" s="1262"/>
      <c r="M202" s="996"/>
      <c r="N202" s="995"/>
      <c r="O202" s="255"/>
      <c r="P202" s="227"/>
      <c r="Q202" s="201"/>
      <c r="R202" s="173"/>
      <c r="S202" s="184"/>
    </row>
    <row r="203" spans="1:19" s="54" customFormat="1" ht="32.25" customHeight="1">
      <c r="A203" s="180" t="s">
        <v>2010</v>
      </c>
      <c r="B203" s="1230" t="s">
        <v>2285</v>
      </c>
      <c r="C203" s="1229" t="s">
        <v>1732</v>
      </c>
      <c r="D203" s="867">
        <v>597.61</v>
      </c>
      <c r="E203" s="866">
        <v>2</v>
      </c>
      <c r="F203" s="865">
        <v>1195.22</v>
      </c>
      <c r="G203" s="985"/>
      <c r="H203" s="1270"/>
      <c r="I203" s="984">
        <f aca="true" t="shared" si="14" ref="I203:J205">E203</f>
        <v>2</v>
      </c>
      <c r="J203" s="1231">
        <f t="shared" si="14"/>
        <v>1195.22</v>
      </c>
      <c r="K203" s="985"/>
      <c r="L203" s="1270"/>
      <c r="M203" s="986"/>
      <c r="N203" s="1232"/>
      <c r="O203" s="181" t="s">
        <v>2353</v>
      </c>
      <c r="P203" s="208"/>
      <c r="Q203" s="1659" t="s">
        <v>2427</v>
      </c>
      <c r="R203" s="179" t="s">
        <v>2309</v>
      </c>
      <c r="S203" s="215"/>
    </row>
    <row r="204" spans="1:19" s="54" customFormat="1" ht="34.5" customHeight="1">
      <c r="A204" s="180" t="s">
        <v>2011</v>
      </c>
      <c r="B204" s="1172" t="s">
        <v>2215</v>
      </c>
      <c r="C204" s="1229" t="s">
        <v>1732</v>
      </c>
      <c r="D204" s="1168">
        <v>640</v>
      </c>
      <c r="E204" s="866">
        <v>1</v>
      </c>
      <c r="F204" s="865">
        <v>640</v>
      </c>
      <c r="G204" s="985"/>
      <c r="H204" s="1270"/>
      <c r="I204" s="984">
        <f t="shared" si="14"/>
        <v>1</v>
      </c>
      <c r="J204" s="1231">
        <f t="shared" si="14"/>
        <v>640</v>
      </c>
      <c r="K204" s="985"/>
      <c r="L204" s="1270"/>
      <c r="M204" s="986"/>
      <c r="N204" s="1232"/>
      <c r="O204" s="181" t="s">
        <v>2354</v>
      </c>
      <c r="P204" s="1165"/>
      <c r="Q204" s="1660"/>
      <c r="R204" s="229" t="s">
        <v>2310</v>
      </c>
      <c r="S204" s="221"/>
    </row>
    <row r="205" spans="1:19" s="54" customFormat="1" ht="29.25" customHeight="1">
      <c r="A205" s="180" t="s">
        <v>1629</v>
      </c>
      <c r="B205" s="1172" t="s">
        <v>2234</v>
      </c>
      <c r="C205" s="1229" t="s">
        <v>1732</v>
      </c>
      <c r="D205" s="1168">
        <v>276.2</v>
      </c>
      <c r="E205" s="866">
        <v>1</v>
      </c>
      <c r="F205" s="865">
        <v>276.2</v>
      </c>
      <c r="G205" s="985"/>
      <c r="H205" s="1270"/>
      <c r="I205" s="984">
        <f t="shared" si="14"/>
        <v>1</v>
      </c>
      <c r="J205" s="1231">
        <f t="shared" si="14"/>
        <v>276.2</v>
      </c>
      <c r="K205" s="985"/>
      <c r="L205" s="1270"/>
      <c r="M205" s="986"/>
      <c r="N205" s="1232"/>
      <c r="O205" s="181" t="s">
        <v>2193</v>
      </c>
      <c r="P205" s="1166"/>
      <c r="Q205" s="1660"/>
      <c r="R205" s="179" t="s">
        <v>2311</v>
      </c>
      <c r="S205" s="215"/>
    </row>
    <row r="206" spans="1:19" s="54" customFormat="1" ht="29.25" customHeight="1">
      <c r="A206" s="180" t="s">
        <v>2355</v>
      </c>
      <c r="B206" s="1172" t="s">
        <v>2285</v>
      </c>
      <c r="C206" s="1229" t="s">
        <v>1732</v>
      </c>
      <c r="D206" s="1168">
        <v>916.7</v>
      </c>
      <c r="E206" s="869">
        <v>2</v>
      </c>
      <c r="F206" s="865">
        <v>1833.4</v>
      </c>
      <c r="G206" s="985"/>
      <c r="H206" s="1270"/>
      <c r="I206" s="984"/>
      <c r="J206" s="1231"/>
      <c r="K206" s="985">
        <v>2</v>
      </c>
      <c r="L206" s="1270">
        <v>1833.4</v>
      </c>
      <c r="M206" s="984"/>
      <c r="N206" s="1231"/>
      <c r="O206" s="181" t="s">
        <v>2318</v>
      </c>
      <c r="P206" s="1166"/>
      <c r="Q206" s="1660"/>
      <c r="R206" s="179"/>
      <c r="S206" s="1719" t="s">
        <v>2429</v>
      </c>
    </row>
    <row r="207" spans="1:19" s="54" customFormat="1" ht="29.25" customHeight="1">
      <c r="A207" s="180" t="s">
        <v>2356</v>
      </c>
      <c r="B207" s="1172" t="s">
        <v>2215</v>
      </c>
      <c r="C207" s="1229" t="s">
        <v>1732</v>
      </c>
      <c r="D207" s="1168">
        <v>1097.21</v>
      </c>
      <c r="E207" s="869">
        <v>1</v>
      </c>
      <c r="F207" s="865">
        <v>1097.21</v>
      </c>
      <c r="G207" s="985"/>
      <c r="H207" s="1270"/>
      <c r="I207" s="984"/>
      <c r="J207" s="1231"/>
      <c r="K207" s="985"/>
      <c r="L207" s="1270"/>
      <c r="M207" s="984">
        <v>1</v>
      </c>
      <c r="N207" s="1231">
        <v>1097.21</v>
      </c>
      <c r="O207" s="181" t="s">
        <v>2318</v>
      </c>
      <c r="P207" s="1166"/>
      <c r="Q207" s="1660"/>
      <c r="R207" s="179"/>
      <c r="S207" s="1721"/>
    </row>
    <row r="208" spans="1:19" s="54" customFormat="1" ht="34.5" customHeight="1" thickBot="1">
      <c r="A208" s="1130" t="s">
        <v>2357</v>
      </c>
      <c r="B208" s="1188" t="s">
        <v>2358</v>
      </c>
      <c r="C208" s="1299" t="s">
        <v>1732</v>
      </c>
      <c r="D208" s="1402">
        <v>281.885</v>
      </c>
      <c r="E208" s="1131">
        <v>15</v>
      </c>
      <c r="F208" s="1133">
        <v>4228.275</v>
      </c>
      <c r="G208" s="1300"/>
      <c r="H208" s="1301"/>
      <c r="I208" s="1302"/>
      <c r="J208" s="1303"/>
      <c r="K208" s="1300"/>
      <c r="L208" s="1301"/>
      <c r="M208" s="1302">
        <v>15</v>
      </c>
      <c r="N208" s="1303">
        <v>4228.275</v>
      </c>
      <c r="O208" s="287" t="s">
        <v>2318</v>
      </c>
      <c r="P208" s="1304"/>
      <c r="Q208" s="1718"/>
      <c r="R208" s="189"/>
      <c r="S208" s="1720"/>
    </row>
    <row r="209" spans="1:19" s="54" customFormat="1" ht="20.25" customHeight="1" thickBot="1">
      <c r="A209" s="233" t="s">
        <v>1635</v>
      </c>
      <c r="B209" s="1200"/>
      <c r="C209" s="1358"/>
      <c r="D209" s="992"/>
      <c r="E209" s="991"/>
      <c r="F209" s="956">
        <f>SUM(F203:F208)</f>
        <v>9270.305</v>
      </c>
      <c r="G209" s="993"/>
      <c r="H209" s="1261">
        <f>SUM(H203:H205)</f>
        <v>0</v>
      </c>
      <c r="I209" s="992"/>
      <c r="J209" s="956">
        <f>SUM(J203:J208)</f>
        <v>2111.42</v>
      </c>
      <c r="K209" s="1030"/>
      <c r="L209" s="1261">
        <f>SUM(L203:L208)</f>
        <v>1833.4</v>
      </c>
      <c r="M209" s="1305"/>
      <c r="N209" s="956">
        <f>SUM(N203:N208)</f>
        <v>5325.485</v>
      </c>
      <c r="O209" s="267"/>
      <c r="P209" s="1306"/>
      <c r="Q209" s="1307"/>
      <c r="R209" s="269"/>
      <c r="S209" s="1308"/>
    </row>
    <row r="210" spans="1:19" s="54" customFormat="1" ht="23.25" customHeight="1">
      <c r="A210" s="1715" t="s">
        <v>1630</v>
      </c>
      <c r="B210" s="1716"/>
      <c r="C210" s="1359"/>
      <c r="D210" s="1284"/>
      <c r="E210" s="957"/>
      <c r="F210" s="958"/>
      <c r="G210" s="1037"/>
      <c r="H210" s="1271"/>
      <c r="I210" s="1284"/>
      <c r="J210" s="958"/>
      <c r="K210" s="1037"/>
      <c r="L210" s="1271"/>
      <c r="M210" s="1284"/>
      <c r="N210" s="958"/>
      <c r="O210" s="206"/>
      <c r="P210" s="220"/>
      <c r="Q210" s="223"/>
      <c r="R210" s="187"/>
      <c r="S210" s="221"/>
    </row>
    <row r="211" spans="1:19" s="52" customFormat="1" ht="24.75" customHeight="1">
      <c r="A211" s="256" t="s">
        <v>1887</v>
      </c>
      <c r="B211" s="1216" t="s">
        <v>681</v>
      </c>
      <c r="C211" s="1351" t="s">
        <v>1732</v>
      </c>
      <c r="D211" s="1401">
        <v>17.201</v>
      </c>
      <c r="E211" s="898">
        <v>8</v>
      </c>
      <c r="F211" s="909">
        <f>D211*E211</f>
        <v>137.608</v>
      </c>
      <c r="G211" s="1038"/>
      <c r="H211" s="1235"/>
      <c r="I211" s="986">
        <f aca="true" t="shared" si="15" ref="I211:J214">E211</f>
        <v>8</v>
      </c>
      <c r="J211" s="876">
        <f t="shared" si="15"/>
        <v>137.608</v>
      </c>
      <c r="K211" s="878"/>
      <c r="L211" s="1235"/>
      <c r="M211" s="986"/>
      <c r="N211" s="876"/>
      <c r="O211" s="181" t="s">
        <v>2193</v>
      </c>
      <c r="P211" s="257"/>
      <c r="Q211" s="1659" t="s">
        <v>2428</v>
      </c>
      <c r="R211" s="203" t="s">
        <v>2312</v>
      </c>
      <c r="S211" s="258"/>
    </row>
    <row r="212" spans="1:19" s="52" customFormat="1" ht="22.5" customHeight="1">
      <c r="A212" s="259" t="s">
        <v>1888</v>
      </c>
      <c r="B212" s="1216" t="s">
        <v>682</v>
      </c>
      <c r="C212" s="1351" t="s">
        <v>1732</v>
      </c>
      <c r="D212" s="1401">
        <v>8.67</v>
      </c>
      <c r="E212" s="898">
        <v>12</v>
      </c>
      <c r="F212" s="909">
        <f>D212*E212</f>
        <v>104.03999999999999</v>
      </c>
      <c r="G212" s="1038"/>
      <c r="H212" s="1235"/>
      <c r="I212" s="986">
        <f t="shared" si="15"/>
        <v>12</v>
      </c>
      <c r="J212" s="876">
        <f t="shared" si="15"/>
        <v>104.03999999999999</v>
      </c>
      <c r="K212" s="878"/>
      <c r="L212" s="1235"/>
      <c r="M212" s="986"/>
      <c r="N212" s="876"/>
      <c r="O212" s="181" t="s">
        <v>2193</v>
      </c>
      <c r="P212" s="257"/>
      <c r="Q212" s="1660"/>
      <c r="R212" s="203" t="s">
        <v>2313</v>
      </c>
      <c r="S212" s="258"/>
    </row>
    <row r="213" spans="1:19" s="52" customFormat="1" ht="24.75" customHeight="1">
      <c r="A213" s="256" t="s">
        <v>679</v>
      </c>
      <c r="B213" s="1204" t="s">
        <v>2198</v>
      </c>
      <c r="C213" s="1351" t="s">
        <v>1732</v>
      </c>
      <c r="D213" s="1401">
        <v>6.4</v>
      </c>
      <c r="E213" s="898">
        <v>8</v>
      </c>
      <c r="F213" s="909">
        <f>D213*E213</f>
        <v>51.2</v>
      </c>
      <c r="G213" s="1038"/>
      <c r="H213" s="1235"/>
      <c r="I213" s="986">
        <f t="shared" si="15"/>
        <v>8</v>
      </c>
      <c r="J213" s="876">
        <f t="shared" si="15"/>
        <v>51.2</v>
      </c>
      <c r="K213" s="878"/>
      <c r="L213" s="1235"/>
      <c r="M213" s="986"/>
      <c r="N213" s="876"/>
      <c r="O213" s="181" t="s">
        <v>2193</v>
      </c>
      <c r="P213" s="260"/>
      <c r="Q213" s="1660"/>
      <c r="R213" s="173" t="s">
        <v>2314</v>
      </c>
      <c r="S213" s="174"/>
    </row>
    <row r="214" spans="1:19" s="52" customFormat="1" ht="28.5" customHeight="1">
      <c r="A214" s="259" t="s">
        <v>680</v>
      </c>
      <c r="B214" s="1216" t="s">
        <v>2155</v>
      </c>
      <c r="C214" s="1229" t="s">
        <v>1732</v>
      </c>
      <c r="D214" s="1168">
        <v>9</v>
      </c>
      <c r="E214" s="898">
        <v>33</v>
      </c>
      <c r="F214" s="909">
        <f>D214*E214</f>
        <v>297</v>
      </c>
      <c r="G214" s="1038"/>
      <c r="H214" s="1235"/>
      <c r="I214" s="986">
        <f t="shared" si="15"/>
        <v>33</v>
      </c>
      <c r="J214" s="876">
        <f t="shared" si="15"/>
        <v>297</v>
      </c>
      <c r="K214" s="878"/>
      <c r="L214" s="1235"/>
      <c r="M214" s="986"/>
      <c r="N214" s="876"/>
      <c r="O214" s="181" t="s">
        <v>2193</v>
      </c>
      <c r="P214" s="260"/>
      <c r="Q214" s="1660"/>
      <c r="R214" s="173" t="s">
        <v>2315</v>
      </c>
      <c r="S214" s="184"/>
    </row>
    <row r="215" spans="1:19" s="52" customFormat="1" ht="56.25" customHeight="1" thickBot="1">
      <c r="A215" s="207" t="s">
        <v>2246</v>
      </c>
      <c r="B215" s="1285" t="s">
        <v>2373</v>
      </c>
      <c r="C215" s="1360" t="s">
        <v>1732</v>
      </c>
      <c r="D215" s="1403">
        <f>F215*E215</f>
        <v>225</v>
      </c>
      <c r="E215" s="1286">
        <v>1</v>
      </c>
      <c r="F215" s="1287">
        <v>225</v>
      </c>
      <c r="G215" s="1006"/>
      <c r="H215" s="1235"/>
      <c r="I215" s="986"/>
      <c r="J215" s="876"/>
      <c r="K215" s="878"/>
      <c r="L215" s="1235"/>
      <c r="M215" s="986">
        <f>E215</f>
        <v>1</v>
      </c>
      <c r="N215" s="876">
        <f>F215</f>
        <v>225</v>
      </c>
      <c r="O215" s="181" t="s">
        <v>2318</v>
      </c>
      <c r="P215" s="257"/>
      <c r="Q215" s="1661"/>
      <c r="R215" s="203"/>
      <c r="S215" s="258" t="s">
        <v>2429</v>
      </c>
    </row>
    <row r="216" spans="1:19" s="52" customFormat="1" ht="21" customHeight="1" thickBot="1">
      <c r="A216" s="261" t="s">
        <v>1636</v>
      </c>
      <c r="B216" s="1217"/>
      <c r="C216" s="1361"/>
      <c r="D216" s="1041"/>
      <c r="E216" s="1039"/>
      <c r="F216" s="1040">
        <f>SUM(F211:F215)</f>
        <v>814.848</v>
      </c>
      <c r="G216" s="1042"/>
      <c r="H216" s="1272">
        <f>SUM(H211:H215)</f>
        <v>0</v>
      </c>
      <c r="I216" s="1041"/>
      <c r="J216" s="1040">
        <f>SUM(J211:J215)</f>
        <v>589.848</v>
      </c>
      <c r="K216" s="1042"/>
      <c r="L216" s="1272">
        <f>SUM(L211:L215)</f>
        <v>0</v>
      </c>
      <c r="M216" s="1041"/>
      <c r="N216" s="1040">
        <f>SUM(N211:N215)</f>
        <v>225</v>
      </c>
      <c r="O216" s="262"/>
      <c r="P216" s="257"/>
      <c r="Q216" s="263"/>
      <c r="R216" s="203"/>
      <c r="S216" s="258"/>
    </row>
    <row r="217" spans="1:19" s="52" customFormat="1" ht="21.75" customHeight="1" thickBot="1">
      <c r="A217" s="264" t="s">
        <v>2108</v>
      </c>
      <c r="B217" s="265"/>
      <c r="C217" s="264"/>
      <c r="D217" s="1045"/>
      <c r="E217" s="1043"/>
      <c r="F217" s="1044">
        <f>F77+F99+F130+F174+F201+F209+F216</f>
        <v>75882.99878426999</v>
      </c>
      <c r="G217" s="1046"/>
      <c r="H217" s="1273">
        <f>H77+H99+H130+H174+H201+H209+H216</f>
        <v>0</v>
      </c>
      <c r="I217" s="1045"/>
      <c r="J217" s="1044">
        <f>J77+J99+J130+J174+J201+J209+J216</f>
        <v>19648.07819</v>
      </c>
      <c r="K217" s="1046"/>
      <c r="L217" s="1273">
        <f>L77+L99+L130+L174+L201+L209+L216</f>
        <v>27890.91135796833</v>
      </c>
      <c r="M217" s="1045"/>
      <c r="N217" s="1044">
        <f>N77+N99+N130+N174+N201+N209+N216</f>
        <v>28344.012719635</v>
      </c>
      <c r="O217" s="267"/>
      <c r="P217" s="268"/>
      <c r="Q217" s="269"/>
      <c r="R217" s="270"/>
      <c r="S217" s="271"/>
    </row>
    <row r="218" spans="1:19" s="122" customFormat="1" ht="10.5" customHeight="1">
      <c r="A218" s="272"/>
      <c r="B218" s="272"/>
      <c r="C218" s="272"/>
      <c r="D218" s="1047"/>
      <c r="E218" s="1047"/>
      <c r="F218" s="1048"/>
      <c r="G218" s="1047"/>
      <c r="H218" s="1048"/>
      <c r="I218" s="1047"/>
      <c r="J218" s="1048"/>
      <c r="K218" s="1047"/>
      <c r="L218" s="1048"/>
      <c r="M218" s="1047"/>
      <c r="N218" s="1048"/>
      <c r="O218" s="273"/>
      <c r="P218" s="273"/>
      <c r="Q218" s="274"/>
      <c r="R218" s="273"/>
      <c r="S218" s="273"/>
    </row>
    <row r="219" spans="1:19" ht="15.75">
      <c r="A219" s="1717" t="s">
        <v>1581</v>
      </c>
      <c r="B219" s="1717"/>
      <c r="C219" s="1717"/>
      <c r="D219" s="1717"/>
      <c r="E219" s="1717"/>
      <c r="F219" s="1717"/>
      <c r="G219" s="1049"/>
      <c r="H219" s="1049"/>
      <c r="I219" s="1049"/>
      <c r="J219" s="1049"/>
      <c r="K219" s="1049"/>
      <c r="L219" s="1049"/>
      <c r="M219" s="1049"/>
      <c r="N219" s="1049"/>
      <c r="O219" s="275"/>
      <c r="P219" s="275"/>
      <c r="Q219" s="275"/>
      <c r="R219" s="275"/>
      <c r="S219" s="275"/>
    </row>
    <row r="220" spans="1:19" ht="15.75">
      <c r="A220" s="276"/>
      <c r="B220" s="275"/>
      <c r="C220" s="275"/>
      <c r="D220" s="1050"/>
      <c r="E220" s="1050"/>
      <c r="F220" s="1049"/>
      <c r="G220" s="1049"/>
      <c r="H220" s="1049"/>
      <c r="I220" s="1049"/>
      <c r="J220" s="1049"/>
      <c r="K220" s="1049"/>
      <c r="L220" s="1049"/>
      <c r="M220" s="1049"/>
      <c r="N220" s="1049"/>
      <c r="O220" s="275"/>
      <c r="P220" s="275"/>
      <c r="Q220" s="275"/>
      <c r="R220" s="275"/>
      <c r="S220" s="275"/>
    </row>
    <row r="221" spans="1:19" ht="15.75" outlineLevel="1">
      <c r="A221" s="277"/>
      <c r="B221" s="152" t="s">
        <v>2405</v>
      </c>
      <c r="C221" s="153"/>
      <c r="D221" s="1050"/>
      <c r="E221" s="1051"/>
      <c r="F221" s="1052" t="s">
        <v>1991</v>
      </c>
      <c r="G221" s="1052"/>
      <c r="H221" s="1050"/>
      <c r="I221" s="1052"/>
      <c r="J221" s="1053" t="s">
        <v>2406</v>
      </c>
      <c r="K221" s="1052"/>
      <c r="L221" s="1050"/>
      <c r="M221" s="1050"/>
      <c r="N221" s="1050"/>
      <c r="O221" s="275"/>
      <c r="P221" s="275"/>
      <c r="Q221" s="275"/>
      <c r="R221" s="275"/>
      <c r="S221" s="275"/>
    </row>
    <row r="222" spans="1:19" s="1057" customFormat="1" ht="15.75" outlineLevel="1">
      <c r="A222" s="154"/>
      <c r="B222" s="155"/>
      <c r="C222" s="156"/>
      <c r="D222" s="1054"/>
      <c r="E222" s="1051"/>
      <c r="F222" s="1052" t="s">
        <v>1992</v>
      </c>
      <c r="G222" s="1052"/>
      <c r="H222" s="1051"/>
      <c r="I222" s="1052"/>
      <c r="J222" s="1052" t="s">
        <v>1675</v>
      </c>
      <c r="K222" s="1052"/>
      <c r="L222" s="1052"/>
      <c r="M222" s="1051"/>
      <c r="N222" s="1051"/>
      <c r="O222" s="154"/>
      <c r="P222" s="154"/>
      <c r="Q222" s="154"/>
      <c r="R222" s="154"/>
      <c r="S222" s="154"/>
    </row>
    <row r="223" spans="1:19" s="1057" customFormat="1" ht="15.75">
      <c r="A223" s="154"/>
      <c r="B223" s="155"/>
      <c r="C223" s="156"/>
      <c r="D223" s="1054"/>
      <c r="E223" s="1051"/>
      <c r="F223" s="1052"/>
      <c r="G223" s="1052"/>
      <c r="H223" s="1051"/>
      <c r="I223" s="1052"/>
      <c r="J223" s="1052"/>
      <c r="K223" s="1052"/>
      <c r="L223" s="1052"/>
      <c r="M223" s="1051"/>
      <c r="N223" s="1051"/>
      <c r="O223" s="154"/>
      <c r="P223" s="154"/>
      <c r="Q223" s="154"/>
      <c r="R223" s="154"/>
      <c r="S223" s="154"/>
    </row>
    <row r="224" spans="1:19" s="1057" customFormat="1" ht="15.75" outlineLevel="1">
      <c r="A224" s="154"/>
      <c r="B224" s="152" t="s">
        <v>436</v>
      </c>
      <c r="C224" s="153"/>
      <c r="D224" s="1050"/>
      <c r="E224" s="1051"/>
      <c r="F224" s="1052" t="s">
        <v>1991</v>
      </c>
      <c r="G224" s="1052"/>
      <c r="H224" s="1050"/>
      <c r="I224" s="1052"/>
      <c r="J224" s="1053" t="s">
        <v>435</v>
      </c>
      <c r="K224" s="1052"/>
      <c r="L224" s="1052"/>
      <c r="M224" s="1051"/>
      <c r="N224" s="1051"/>
      <c r="O224" s="154"/>
      <c r="P224" s="154"/>
      <c r="Q224" s="154"/>
      <c r="R224" s="154"/>
      <c r="S224" s="154"/>
    </row>
    <row r="225" spans="1:19" s="1057" customFormat="1" ht="15.75" outlineLevel="1">
      <c r="A225" s="154"/>
      <c r="B225" s="155"/>
      <c r="C225" s="156"/>
      <c r="D225" s="1054"/>
      <c r="E225" s="1051"/>
      <c r="F225" s="1052" t="s">
        <v>1992</v>
      </c>
      <c r="G225" s="1052"/>
      <c r="H225" s="1051"/>
      <c r="I225" s="1052"/>
      <c r="J225" s="1052" t="s">
        <v>1675</v>
      </c>
      <c r="K225" s="1052"/>
      <c r="L225" s="1052"/>
      <c r="M225" s="1051"/>
      <c r="N225" s="1051"/>
      <c r="O225" s="154"/>
      <c r="P225" s="154"/>
      <c r="Q225" s="154"/>
      <c r="R225" s="154"/>
      <c r="S225" s="154"/>
    </row>
    <row r="226" spans="1:19" s="1057" customFormat="1" ht="20.25" customHeight="1" thickBot="1">
      <c r="A226" s="157"/>
      <c r="B226" s="1714" t="s">
        <v>185</v>
      </c>
      <c r="C226" s="1714"/>
      <c r="D226" s="1714"/>
      <c r="E226" s="1714"/>
      <c r="F226" s="1051"/>
      <c r="G226" s="1051"/>
      <c r="H226" s="1049"/>
      <c r="I226" s="1049"/>
      <c r="J226" s="1049"/>
      <c r="K226" s="1049"/>
      <c r="L226" s="1049"/>
      <c r="M226" s="1049"/>
      <c r="N226" s="1049"/>
      <c r="O226" s="154"/>
      <c r="P226" s="154"/>
      <c r="Q226" s="154"/>
      <c r="R226" s="154"/>
      <c r="S226" s="154"/>
    </row>
    <row r="227" spans="1:21" s="1057" customFormat="1" ht="16.5" customHeight="1" thickBot="1">
      <c r="A227" s="278"/>
      <c r="B227" s="158" t="s">
        <v>1676</v>
      </c>
      <c r="C227" s="157"/>
      <c r="D227" s="1055"/>
      <c r="E227" s="1055"/>
      <c r="F227" s="1054"/>
      <c r="G227" s="1054"/>
      <c r="H227" s="1056" t="s">
        <v>433</v>
      </c>
      <c r="I227" s="1051"/>
      <c r="J227" s="1051"/>
      <c r="K227" s="1051"/>
      <c r="L227" s="1051"/>
      <c r="M227" s="1051"/>
      <c r="N227" s="1051"/>
      <c r="O227" s="154"/>
      <c r="P227" s="154"/>
      <c r="Q227" s="154"/>
      <c r="R227" s="154"/>
      <c r="S227" s="154"/>
      <c r="U227" s="266">
        <v>59198.00283333333</v>
      </c>
    </row>
    <row r="228" spans="8:14" ht="12.75">
      <c r="H228" s="1167"/>
      <c r="I228" s="1167"/>
      <c r="J228" s="1167"/>
      <c r="K228" s="1167"/>
      <c r="L228" s="1167"/>
      <c r="M228" s="1167"/>
      <c r="N228" s="1167"/>
    </row>
    <row r="230" ht="16.5" customHeight="1"/>
    <row r="231" spans="6:14" ht="12.75">
      <c r="F231" s="1142">
        <f>59198-F217</f>
        <v>-16684.998784269992</v>
      </c>
      <c r="H231" s="1142">
        <f>H217*100/F217</f>
        <v>0</v>
      </c>
      <c r="J231" s="1142">
        <f>J217*100/F217</f>
        <v>25.89259584463458</v>
      </c>
      <c r="L231" s="1142">
        <f>L217*100/F217</f>
        <v>36.75515175310905</v>
      </c>
      <c r="N231" s="1142">
        <f>N217*100/F217</f>
        <v>37.352256992656585</v>
      </c>
    </row>
  </sheetData>
  <sheetProtection insertRows="0" deleteRows="0" selectLockedCells="1"/>
  <mergeCells count="60">
    <mergeCell ref="Q109:Q120"/>
    <mergeCell ref="Q57:Q58"/>
    <mergeCell ref="Q65:Q75"/>
    <mergeCell ref="Q89:Q93"/>
    <mergeCell ref="S206:S207"/>
    <mergeCell ref="Q25:Q26"/>
    <mergeCell ref="Q138:Q139"/>
    <mergeCell ref="Q211:Q215"/>
    <mergeCell ref="Q134:Q135"/>
    <mergeCell ref="Q35:Q36"/>
    <mergeCell ref="Q37:Q38"/>
    <mergeCell ref="Q29:Q30"/>
    <mergeCell ref="Q31:Q34"/>
    <mergeCell ref="Q52:Q53"/>
    <mergeCell ref="Q81:Q82"/>
    <mergeCell ref="B226:E226"/>
    <mergeCell ref="A210:B210"/>
    <mergeCell ref="A219:F219"/>
    <mergeCell ref="Q191:Q196"/>
    <mergeCell ref="Q148:Q149"/>
    <mergeCell ref="Q169:Q171"/>
    <mergeCell ref="Q178:Q179"/>
    <mergeCell ref="Q203:Q208"/>
    <mergeCell ref="A99:B99"/>
    <mergeCell ref="Q125:Q128"/>
    <mergeCell ref="A6:S6"/>
    <mergeCell ref="C7:C10"/>
    <mergeCell ref="D7:D10"/>
    <mergeCell ref="I9:I10"/>
    <mergeCell ref="K9:K10"/>
    <mergeCell ref="F8:F10"/>
    <mergeCell ref="Q7:Q10"/>
    <mergeCell ref="Q21:Q22"/>
    <mergeCell ref="A78:B78"/>
    <mergeCell ref="H9:H10"/>
    <mergeCell ref="O7:O10"/>
    <mergeCell ref="M9:M10"/>
    <mergeCell ref="E7:F7"/>
    <mergeCell ref="G9:G10"/>
    <mergeCell ref="E8:E10"/>
    <mergeCell ref="S7:S10"/>
    <mergeCell ref="R7:R10"/>
    <mergeCell ref="I8:J8"/>
    <mergeCell ref="B7:B10"/>
    <mergeCell ref="P7:P10"/>
    <mergeCell ref="L9:L10"/>
    <mergeCell ref="J9:J10"/>
    <mergeCell ref="G7:N7"/>
    <mergeCell ref="P25:P26"/>
    <mergeCell ref="N9:N10"/>
    <mergeCell ref="G8:H8"/>
    <mergeCell ref="K8:L8"/>
    <mergeCell ref="M8:N8"/>
    <mergeCell ref="A7:A10"/>
    <mergeCell ref="R21:R22"/>
    <mergeCell ref="R31:R34"/>
    <mergeCell ref="R91:R92"/>
    <mergeCell ref="R109:R120"/>
    <mergeCell ref="R125:R128"/>
    <mergeCell ref="R169:R171"/>
  </mergeCells>
  <conditionalFormatting sqref="F218 F211:F215 H117:H120 F182:F183 F157 F152:F154 F132:F135 F176:F178 F123:F128 F105 F101:F103 F97 F79 F88:F92 F109:F120 F63:F64 F56:F57 F50:F53 H211:H215 F203:F208 F107 F180">
    <cfRule type="cellIs" priority="114" dxfId="37" operator="lessThanOrEqual" stopIfTrue="1">
      <formula>0</formula>
    </cfRule>
  </conditionalFormatting>
  <conditionalFormatting sqref="G152:N154 G117:H120 G116:L116 G126:G128 G135:N135 L105 J105 H105 N105 G102:N102 N100 G104:G105 G103:H103 L100 J100 G98:G100 I98:I100 H100 M98 K98:K100 G97:N97 G88 N88 M79:N80 H88:M92 G63:H64 G56:J59 M56:N59 L53:L54 G50:N51 G52:K54 M52:M54 G41:N43 G45:N46 G211:G215 G20:N20 G17:N18 G13:L15 G21:L22 M203:M205 G134:J134 M134:N134 G28:N35 J109:L120 I211:N215 G79:K82 G38:J38 G65:G75 K93:M93 N107 G107:H107 J107 L107 G36:J36 M36:N36 M38:N38">
    <cfRule type="cellIs" priority="115" dxfId="38" operator="lessThanOrEqual" stopIfTrue="1">
      <formula>0</formula>
    </cfRule>
  </conditionalFormatting>
  <conditionalFormatting sqref="G37:J37 M37:N37">
    <cfRule type="cellIs" priority="13" dxfId="38" operator="lessThanOrEqual" stopIfTrue="1">
      <formula>0</formula>
    </cfRule>
  </conditionalFormatting>
  <conditionalFormatting sqref="G47:H47 J47:N47">
    <cfRule type="cellIs" priority="12" dxfId="38" operator="lessThanOrEqual" stopIfTrue="1">
      <formula>0</formula>
    </cfRule>
  </conditionalFormatting>
  <conditionalFormatting sqref="F54">
    <cfRule type="cellIs" priority="11" dxfId="37" operator="lessThanOrEqual" stopIfTrue="1">
      <formula>0</formula>
    </cfRule>
  </conditionalFormatting>
  <conditionalFormatting sqref="F58:F59">
    <cfRule type="cellIs" priority="10" dxfId="37" operator="lessThanOrEqual" stopIfTrue="1">
      <formula>0</formula>
    </cfRule>
  </conditionalFormatting>
  <conditionalFormatting sqref="I63:J64">
    <cfRule type="cellIs" priority="8" dxfId="38" operator="lessThanOrEqual" stopIfTrue="1">
      <formula>0</formula>
    </cfRule>
  </conditionalFormatting>
  <conditionalFormatting sqref="K63:L64 K65:K75">
    <cfRule type="cellIs" priority="7" dxfId="38" operator="lessThanOrEqual" stopIfTrue="1">
      <formula>0</formula>
    </cfRule>
  </conditionalFormatting>
  <conditionalFormatting sqref="M63:N64 M65:M75">
    <cfRule type="cellIs" priority="6" dxfId="38" operator="lessThanOrEqual" stopIfTrue="1">
      <formula>0</formula>
    </cfRule>
  </conditionalFormatting>
  <conditionalFormatting sqref="I65:I75">
    <cfRule type="cellIs" priority="5" dxfId="38" operator="lessThanOrEqual" stopIfTrue="1">
      <formula>0</formula>
    </cfRule>
  </conditionalFormatting>
  <conditionalFormatting sqref="F93">
    <cfRule type="cellIs" priority="4" dxfId="37" operator="lessThanOrEqual" stopIfTrue="1">
      <formula>0</formula>
    </cfRule>
  </conditionalFormatting>
  <conditionalFormatting sqref="F179">
    <cfRule type="cellIs" priority="3" dxfId="37" operator="lessThanOrEqual" stopIfTrue="1">
      <formula>0</formula>
    </cfRule>
  </conditionalFormatting>
  <conditionalFormatting sqref="K36:L38">
    <cfRule type="cellIs" priority="2" dxfId="38" operator="lessThanOrEqual" stopIfTrue="1">
      <formula>0</formula>
    </cfRule>
  </conditionalFormatting>
  <conditionalFormatting sqref="G93:I93">
    <cfRule type="cellIs" priority="1" dxfId="38" operator="lessThanOrEqual" stopIfTrue="1">
      <formula>0</formula>
    </cfRule>
  </conditionalFormatting>
  <printOptions/>
  <pageMargins left="0.5905511811023623" right="0.1968503937007874" top="0.3937007874015748" bottom="0.1968503937007874" header="0.3937007874015748" footer="0.15748031496062992"/>
  <pageSetup fitToHeight="5" fitToWidth="1" horizontalDpi="600" verticalDpi="600" orientation="landscape" paperSize="9" scale="45" r:id="rId1"/>
  <rowBreaks count="3" manualBreakCount="3">
    <brk id="58" max="18" man="1"/>
    <brk id="113" max="18" man="1"/>
    <brk id="140" max="18" man="1"/>
  </rowBreaks>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L22" sqref="L22"/>
    </sheetView>
  </sheetViews>
  <sheetFormatPr defaultColWidth="9.00390625" defaultRowHeight="12.75"/>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9"/>
  <sheetViews>
    <sheetView view="pageBreakPreview" zoomScaleSheetLayoutView="100" zoomScalePageLayoutView="0" workbookViewId="0" topLeftCell="A1">
      <selection activeCell="B5" sqref="B5"/>
    </sheetView>
  </sheetViews>
  <sheetFormatPr defaultColWidth="9.00390625" defaultRowHeight="12.75"/>
  <cols>
    <col min="1" max="1" width="27.375" style="3" customWidth="1"/>
    <col min="2" max="2" width="18.25390625" style="3" customWidth="1"/>
    <col min="3" max="3" width="20.00390625" style="3" customWidth="1"/>
    <col min="4" max="4" width="20.125" style="3" customWidth="1"/>
    <col min="5" max="5" width="20.75390625" style="3" customWidth="1"/>
    <col min="6" max="6" width="20.375" style="3" customWidth="1"/>
    <col min="7" max="16384" width="9.125" style="3" customWidth="1"/>
  </cols>
  <sheetData>
    <row r="1" spans="1:6" ht="27.75" customHeight="1">
      <c r="A1" s="1430" t="s">
        <v>1800</v>
      </c>
      <c r="B1" s="1431"/>
      <c r="C1" s="1431"/>
      <c r="D1" s="1431"/>
      <c r="E1" s="1431"/>
      <c r="F1" s="1432"/>
    </row>
    <row r="2" spans="1:6" ht="40.5" customHeight="1">
      <c r="A2" s="304" t="s">
        <v>1872</v>
      </c>
      <c r="B2" s="367" t="s">
        <v>1678</v>
      </c>
      <c r="C2" s="367" t="s">
        <v>1728</v>
      </c>
      <c r="D2" s="367" t="s">
        <v>1921</v>
      </c>
      <c r="E2" s="367" t="s">
        <v>155</v>
      </c>
      <c r="F2" s="367" t="s">
        <v>2158</v>
      </c>
    </row>
    <row r="3" spans="1:6" ht="17.25" customHeight="1">
      <c r="A3" s="309" t="s">
        <v>1770</v>
      </c>
      <c r="B3" s="368">
        <f>'2. Джерела фінансування'!L5</f>
        <v>75883</v>
      </c>
      <c r="C3" s="368">
        <f>'5. Заг'!G12</f>
        <v>91059.59854112398</v>
      </c>
      <c r="D3" s="368">
        <f>'5. Заг'!H12</f>
        <v>104718.53832229259</v>
      </c>
      <c r="E3" s="368">
        <f>'5. Заг'!I12</f>
        <v>115190.39215452186</v>
      </c>
      <c r="F3" s="368">
        <f>'5. Заг'!J12</f>
        <v>120949.91176224795</v>
      </c>
    </row>
    <row r="4" spans="1:6" ht="18" customHeight="1">
      <c r="A4" s="309" t="s">
        <v>1766</v>
      </c>
      <c r="B4" s="368"/>
      <c r="C4" s="368"/>
      <c r="D4" s="368"/>
      <c r="E4" s="368"/>
      <c r="F4" s="368"/>
    </row>
    <row r="5" spans="1:6" ht="17.25" customHeight="1">
      <c r="A5" s="309" t="s">
        <v>1767</v>
      </c>
      <c r="B5" s="368"/>
      <c r="C5" s="368"/>
      <c r="D5" s="368"/>
      <c r="E5" s="368"/>
      <c r="F5" s="368"/>
    </row>
    <row r="6" spans="1:6" ht="16.5" customHeight="1">
      <c r="A6" s="309" t="s">
        <v>1768</v>
      </c>
      <c r="B6" s="368"/>
      <c r="C6" s="368"/>
      <c r="D6" s="368"/>
      <c r="E6" s="368"/>
      <c r="F6" s="368"/>
    </row>
    <row r="7" spans="1:6" ht="16.5" customHeight="1">
      <c r="A7" s="309" t="s">
        <v>1769</v>
      </c>
      <c r="B7" s="368"/>
      <c r="C7" s="368"/>
      <c r="D7" s="368"/>
      <c r="E7" s="368"/>
      <c r="F7" s="368"/>
    </row>
    <row r="8" spans="1:6" ht="18" customHeight="1">
      <c r="A8" s="309" t="s">
        <v>1771</v>
      </c>
      <c r="B8" s="368"/>
      <c r="C8" s="368"/>
      <c r="D8" s="368"/>
      <c r="E8" s="368"/>
      <c r="F8" s="368"/>
    </row>
    <row r="9" spans="1:6" ht="17.25" customHeight="1">
      <c r="A9" s="309" t="s">
        <v>1681</v>
      </c>
      <c r="B9" s="369">
        <f>SUM(B3:B8)</f>
        <v>75883</v>
      </c>
      <c r="C9" s="369">
        <f>SUM(C3:C8)</f>
        <v>91059.59854112398</v>
      </c>
      <c r="D9" s="369">
        <f>SUM(D3:D8)</f>
        <v>104718.53832229259</v>
      </c>
      <c r="E9" s="369">
        <f>SUM(E3:E8)</f>
        <v>115190.39215452186</v>
      </c>
      <c r="F9" s="369">
        <f>SUM(F3:F8)</f>
        <v>120949.91176224795</v>
      </c>
    </row>
  </sheetData>
  <sheetProtection/>
  <mergeCells count="1">
    <mergeCell ref="A1:F1"/>
  </mergeCells>
  <printOptions/>
  <pageMargins left="0.7874015748031497" right="0.7480314960629921" top="1.1811023622047245"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59"/>
  </sheetPr>
  <dimension ref="A1:O98"/>
  <sheetViews>
    <sheetView view="pageBreakPreview" zoomScaleNormal="75" zoomScaleSheetLayoutView="100" zoomScalePageLayoutView="0" workbookViewId="0" topLeftCell="A1">
      <selection activeCell="E55" sqref="E55"/>
    </sheetView>
  </sheetViews>
  <sheetFormatPr defaultColWidth="9.00390625" defaultRowHeight="12.75"/>
  <cols>
    <col min="1" max="1" width="4.375" style="108" customWidth="1"/>
    <col min="2" max="2" width="31.75390625" style="108" customWidth="1"/>
    <col min="3" max="3" width="10.375" style="108" customWidth="1"/>
    <col min="4" max="4" width="25.25390625" style="108" customWidth="1"/>
    <col min="5" max="5" width="20.375" style="108" customWidth="1"/>
    <col min="6" max="6" width="28.375" style="108" customWidth="1"/>
    <col min="7" max="16384" width="9.125" style="108" customWidth="1"/>
  </cols>
  <sheetData>
    <row r="1" spans="1:15" ht="24.75" customHeight="1">
      <c r="A1" s="1433" t="s">
        <v>194</v>
      </c>
      <c r="B1" s="1433"/>
      <c r="C1" s="1433"/>
      <c r="D1" s="1433"/>
      <c r="E1" s="1433"/>
      <c r="F1" s="1433"/>
      <c r="G1" s="107"/>
      <c r="H1" s="107"/>
      <c r="I1" s="107"/>
      <c r="J1" s="107"/>
      <c r="K1" s="107"/>
      <c r="L1" s="107"/>
      <c r="M1" s="107"/>
      <c r="N1" s="107"/>
      <c r="O1" s="107"/>
    </row>
    <row r="2" spans="1:6" ht="59.25" customHeight="1">
      <c r="A2" s="370" t="s">
        <v>2082</v>
      </c>
      <c r="B2" s="370" t="s">
        <v>195</v>
      </c>
      <c r="C2" s="370" t="s">
        <v>2101</v>
      </c>
      <c r="D2" s="371" t="s">
        <v>2160</v>
      </c>
      <c r="E2" s="371" t="s">
        <v>2159</v>
      </c>
      <c r="F2" s="371" t="s">
        <v>2181</v>
      </c>
    </row>
    <row r="3" spans="1:6" ht="13.5" customHeight="1">
      <c r="A3" s="370">
        <v>1</v>
      </c>
      <c r="B3" s="370">
        <v>2</v>
      </c>
      <c r="C3" s="370">
        <v>3</v>
      </c>
      <c r="D3" s="370">
        <v>4</v>
      </c>
      <c r="E3" s="370">
        <v>5</v>
      </c>
      <c r="F3" s="370">
        <v>6</v>
      </c>
    </row>
    <row r="4" spans="1:6" ht="30.75" customHeight="1">
      <c r="A4" s="1434" t="s">
        <v>196</v>
      </c>
      <c r="B4" s="372" t="s">
        <v>197</v>
      </c>
      <c r="C4" s="1434" t="s">
        <v>198</v>
      </c>
      <c r="D4" s="373">
        <f>SUM(D5:D8)</f>
        <v>0</v>
      </c>
      <c r="E4" s="373">
        <f>SUM(E5:E8)</f>
        <v>0</v>
      </c>
      <c r="F4" s="373">
        <f>SUM(F5:F8)</f>
        <v>0</v>
      </c>
    </row>
    <row r="5" spans="1:6" ht="13.5" customHeight="1">
      <c r="A5" s="1434"/>
      <c r="B5" s="374" t="s">
        <v>199</v>
      </c>
      <c r="C5" s="1434"/>
      <c r="D5" s="375">
        <v>0</v>
      </c>
      <c r="E5" s="375">
        <v>0</v>
      </c>
      <c r="F5" s="375">
        <v>0</v>
      </c>
    </row>
    <row r="6" spans="1:6" ht="13.5" customHeight="1">
      <c r="A6" s="1434"/>
      <c r="B6" s="374" t="s">
        <v>200</v>
      </c>
      <c r="C6" s="1434"/>
      <c r="D6" s="376">
        <v>0</v>
      </c>
      <c r="E6" s="376">
        <v>0</v>
      </c>
      <c r="F6" s="376">
        <v>0</v>
      </c>
    </row>
    <row r="7" spans="1:6" ht="13.5" customHeight="1">
      <c r="A7" s="1434"/>
      <c r="B7" s="377" t="s">
        <v>201</v>
      </c>
      <c r="C7" s="1434"/>
      <c r="D7" s="376">
        <v>0</v>
      </c>
      <c r="E7" s="376">
        <v>0</v>
      </c>
      <c r="F7" s="376">
        <v>0</v>
      </c>
    </row>
    <row r="8" spans="1:6" ht="13.5" customHeight="1">
      <c r="A8" s="1434"/>
      <c r="B8" s="374" t="s">
        <v>202</v>
      </c>
      <c r="C8" s="1434"/>
      <c r="D8" s="376">
        <v>0</v>
      </c>
      <c r="E8" s="376">
        <v>0</v>
      </c>
      <c r="F8" s="376">
        <v>0</v>
      </c>
    </row>
    <row r="9" spans="1:6" ht="15" customHeight="1">
      <c r="A9" s="1434" t="s">
        <v>203</v>
      </c>
      <c r="B9" s="372" t="s">
        <v>1924</v>
      </c>
      <c r="C9" s="1434" t="s">
        <v>198</v>
      </c>
      <c r="D9" s="373">
        <f>SUM(D10:D13)</f>
        <v>1221.74</v>
      </c>
      <c r="E9" s="373">
        <v>119.8</v>
      </c>
      <c r="F9" s="373">
        <f>SUM(F10:F13)</f>
        <v>1221.74</v>
      </c>
    </row>
    <row r="10" spans="1:6" ht="15">
      <c r="A10" s="1434"/>
      <c r="B10" s="374" t="s">
        <v>199</v>
      </c>
      <c r="C10" s="1434"/>
      <c r="D10" s="376">
        <v>1101.74</v>
      </c>
      <c r="E10" s="376">
        <v>0</v>
      </c>
      <c r="F10" s="378">
        <v>1221.54</v>
      </c>
    </row>
    <row r="11" spans="1:6" ht="15">
      <c r="A11" s="1434"/>
      <c r="B11" s="374" t="s">
        <v>200</v>
      </c>
      <c r="C11" s="1434"/>
      <c r="D11" s="376">
        <v>0.2</v>
      </c>
      <c r="E11" s="376">
        <v>0</v>
      </c>
      <c r="F11" s="376">
        <v>0.2</v>
      </c>
    </row>
    <row r="12" spans="1:6" ht="15">
      <c r="A12" s="1434"/>
      <c r="B12" s="377" t="s">
        <v>201</v>
      </c>
      <c r="C12" s="1434"/>
      <c r="D12" s="376">
        <v>119.8</v>
      </c>
      <c r="E12" s="376">
        <v>119.8</v>
      </c>
      <c r="F12" s="379">
        <v>0</v>
      </c>
    </row>
    <row r="13" spans="1:6" ht="15">
      <c r="A13" s="1434"/>
      <c r="B13" s="374" t="s">
        <v>202</v>
      </c>
      <c r="C13" s="1434"/>
      <c r="D13" s="376">
        <v>0</v>
      </c>
      <c r="E13" s="376">
        <v>0</v>
      </c>
      <c r="F13" s="379">
        <v>0</v>
      </c>
    </row>
    <row r="14" spans="1:7" ht="15">
      <c r="A14" s="1434" t="s">
        <v>204</v>
      </c>
      <c r="B14" s="372" t="s">
        <v>1926</v>
      </c>
      <c r="C14" s="1434" t="s">
        <v>198</v>
      </c>
      <c r="D14" s="373">
        <f>SUM(D15:D18)</f>
        <v>2466.8500000000004</v>
      </c>
      <c r="E14" s="373">
        <v>213.3</v>
      </c>
      <c r="F14" s="373">
        <f>D14</f>
        <v>2466.8500000000004</v>
      </c>
      <c r="G14" s="109"/>
    </row>
    <row r="15" spans="1:6" ht="15">
      <c r="A15" s="1434"/>
      <c r="B15" s="374" t="s">
        <v>199</v>
      </c>
      <c r="C15" s="1434"/>
      <c r="D15" s="376">
        <v>2225.65</v>
      </c>
      <c r="E15" s="376">
        <v>0</v>
      </c>
      <c r="F15" s="376">
        <f>F14-F16-F17-F18</f>
        <v>2441.9700000000003</v>
      </c>
    </row>
    <row r="16" spans="1:6" ht="11.25" customHeight="1">
      <c r="A16" s="1434"/>
      <c r="B16" s="374" t="s">
        <v>200</v>
      </c>
      <c r="C16" s="1434"/>
      <c r="D16" s="376">
        <v>27.9</v>
      </c>
      <c r="E16" s="376">
        <v>3.02</v>
      </c>
      <c r="F16" s="376">
        <f>D16-E16</f>
        <v>24.88</v>
      </c>
    </row>
    <row r="17" spans="1:6" ht="15">
      <c r="A17" s="1434"/>
      <c r="B17" s="377" t="s">
        <v>201</v>
      </c>
      <c r="C17" s="1434"/>
      <c r="D17" s="376">
        <v>213.3</v>
      </c>
      <c r="E17" s="376">
        <v>213.3</v>
      </c>
      <c r="F17" s="376">
        <v>0</v>
      </c>
    </row>
    <row r="18" spans="1:6" ht="15">
      <c r="A18" s="1434"/>
      <c r="B18" s="374" t="s">
        <v>202</v>
      </c>
      <c r="C18" s="1434"/>
      <c r="D18" s="376">
        <v>0</v>
      </c>
      <c r="E18" s="376">
        <v>0</v>
      </c>
      <c r="F18" s="376">
        <v>0</v>
      </c>
    </row>
    <row r="19" spans="1:6" ht="14.25" customHeight="1">
      <c r="A19" s="1434" t="s">
        <v>205</v>
      </c>
      <c r="B19" s="372" t="s">
        <v>1927</v>
      </c>
      <c r="C19" s="1434" t="s">
        <v>198</v>
      </c>
      <c r="D19" s="380">
        <f>SUM(D20:D23)</f>
        <v>12768.987000000001</v>
      </c>
      <c r="E19" s="380">
        <f>SUM(E20:E23)</f>
        <v>1288.17</v>
      </c>
      <c r="F19" s="380">
        <f>SUM(F20:F23)</f>
        <v>12919.051</v>
      </c>
    </row>
    <row r="20" spans="1:6" ht="15">
      <c r="A20" s="1434"/>
      <c r="B20" s="374" t="s">
        <v>199</v>
      </c>
      <c r="C20" s="1434"/>
      <c r="D20" s="376">
        <v>3737.28</v>
      </c>
      <c r="E20" s="376">
        <v>0</v>
      </c>
      <c r="F20" s="376">
        <v>5175.51</v>
      </c>
    </row>
    <row r="21" spans="1:6" ht="11.25" customHeight="1">
      <c r="A21" s="1434"/>
      <c r="B21" s="374" t="s">
        <v>200</v>
      </c>
      <c r="C21" s="1434"/>
      <c r="D21" s="376">
        <v>133.99099999999999</v>
      </c>
      <c r="E21" s="376">
        <v>0</v>
      </c>
      <c r="F21" s="376">
        <f>D21-E21</f>
        <v>133.99099999999999</v>
      </c>
    </row>
    <row r="22" spans="1:6" ht="15">
      <c r="A22" s="1434"/>
      <c r="B22" s="377" t="s">
        <v>201</v>
      </c>
      <c r="C22" s="1434"/>
      <c r="D22" s="376">
        <v>8840.25</v>
      </c>
      <c r="E22" s="376">
        <v>1288.17</v>
      </c>
      <c r="F22" s="376">
        <f>D22-E22</f>
        <v>7552.08</v>
      </c>
    </row>
    <row r="23" spans="1:6" ht="15">
      <c r="A23" s="1434"/>
      <c r="B23" s="374" t="s">
        <v>202</v>
      </c>
      <c r="C23" s="1434"/>
      <c r="D23" s="376">
        <v>57.466</v>
      </c>
      <c r="E23" s="376">
        <v>0</v>
      </c>
      <c r="F23" s="376">
        <v>57.47</v>
      </c>
    </row>
    <row r="24" spans="1:6" ht="14.25" customHeight="1">
      <c r="A24" s="1434" t="s">
        <v>206</v>
      </c>
      <c r="B24" s="372" t="s">
        <v>1928</v>
      </c>
      <c r="C24" s="1434" t="s">
        <v>198</v>
      </c>
      <c r="D24" s="373">
        <f>SUM(D25:D28)</f>
        <v>18051.329</v>
      </c>
      <c r="E24" s="373">
        <f>SUM(E25:E28)</f>
        <v>2138.629</v>
      </c>
      <c r="F24" s="373">
        <f>D24</f>
        <v>18051.329</v>
      </c>
    </row>
    <row r="25" spans="1:6" ht="15">
      <c r="A25" s="1434"/>
      <c r="B25" s="374" t="s">
        <v>199</v>
      </c>
      <c r="C25" s="1434"/>
      <c r="D25" s="376">
        <v>6097.78</v>
      </c>
      <c r="E25" s="376">
        <v>0</v>
      </c>
      <c r="F25" s="376">
        <f>F24-F26-F27-F28</f>
        <v>8236.409000000001</v>
      </c>
    </row>
    <row r="26" spans="1:6" ht="11.25" customHeight="1">
      <c r="A26" s="1434"/>
      <c r="B26" s="374" t="s">
        <v>200</v>
      </c>
      <c r="C26" s="1434"/>
      <c r="D26" s="376">
        <v>1225.34</v>
      </c>
      <c r="E26" s="376">
        <f>49.979+4.38</f>
        <v>54.359</v>
      </c>
      <c r="F26" s="376">
        <f>D26-E26</f>
        <v>1170.981</v>
      </c>
    </row>
    <row r="27" spans="1:6" ht="15">
      <c r="A27" s="1434"/>
      <c r="B27" s="377" t="s">
        <v>201</v>
      </c>
      <c r="C27" s="1434"/>
      <c r="D27" s="376">
        <v>9979.28</v>
      </c>
      <c r="E27" s="376">
        <v>2084.27</v>
      </c>
      <c r="F27" s="376">
        <f>D27-E27</f>
        <v>7895.01</v>
      </c>
    </row>
    <row r="28" spans="1:6" ht="15">
      <c r="A28" s="1434"/>
      <c r="B28" s="374" t="s">
        <v>202</v>
      </c>
      <c r="C28" s="1434"/>
      <c r="D28" s="376">
        <v>748.9290000000001</v>
      </c>
      <c r="E28" s="376">
        <v>0</v>
      </c>
      <c r="F28" s="376">
        <f>D28-E28</f>
        <v>748.9290000000001</v>
      </c>
    </row>
    <row r="29" spans="1:6" ht="28.5">
      <c r="A29" s="1434" t="s">
        <v>207</v>
      </c>
      <c r="B29" s="372" t="s">
        <v>208</v>
      </c>
      <c r="C29" s="1434" t="s">
        <v>2104</v>
      </c>
      <c r="D29" s="376">
        <f>SUM(D30:D34)</f>
        <v>0</v>
      </c>
      <c r="E29" s="376">
        <f>SUM(E30:E34)</f>
        <v>0</v>
      </c>
      <c r="F29" s="376">
        <f>SUM(F30:F34)</f>
        <v>0</v>
      </c>
    </row>
    <row r="30" spans="1:6" ht="15">
      <c r="A30" s="1434"/>
      <c r="B30" s="374" t="s">
        <v>199</v>
      </c>
      <c r="C30" s="1434"/>
      <c r="D30" s="376">
        <v>0</v>
      </c>
      <c r="E30" s="376">
        <v>0</v>
      </c>
      <c r="F30" s="376">
        <v>0</v>
      </c>
    </row>
    <row r="31" spans="1:6" ht="15">
      <c r="A31" s="1434"/>
      <c r="B31" s="374" t="s">
        <v>200</v>
      </c>
      <c r="C31" s="1434"/>
      <c r="D31" s="376">
        <v>0</v>
      </c>
      <c r="E31" s="376">
        <v>0</v>
      </c>
      <c r="F31" s="376">
        <v>0</v>
      </c>
    </row>
    <row r="32" spans="1:6" ht="15">
      <c r="A32" s="1434"/>
      <c r="B32" s="377" t="s">
        <v>201</v>
      </c>
      <c r="C32" s="1434"/>
      <c r="D32" s="376">
        <v>0</v>
      </c>
      <c r="E32" s="376">
        <v>0</v>
      </c>
      <c r="F32" s="376">
        <v>0</v>
      </c>
    </row>
    <row r="33" spans="1:6" ht="15">
      <c r="A33" s="1434"/>
      <c r="B33" s="374" t="s">
        <v>202</v>
      </c>
      <c r="C33" s="1434"/>
      <c r="D33" s="376">
        <v>0</v>
      </c>
      <c r="E33" s="376">
        <v>0</v>
      </c>
      <c r="F33" s="376">
        <v>0</v>
      </c>
    </row>
    <row r="34" spans="1:6" ht="30">
      <c r="A34" s="1434"/>
      <c r="B34" s="374" t="s">
        <v>209</v>
      </c>
      <c r="C34" s="1434"/>
      <c r="D34" s="376">
        <v>0</v>
      </c>
      <c r="E34" s="376">
        <v>0</v>
      </c>
      <c r="F34" s="376">
        <v>0</v>
      </c>
    </row>
    <row r="35" spans="1:6" ht="15">
      <c r="A35" s="1434" t="s">
        <v>210</v>
      </c>
      <c r="B35" s="372" t="s">
        <v>211</v>
      </c>
      <c r="C35" s="1434" t="s">
        <v>2104</v>
      </c>
      <c r="D35" s="373">
        <f>SUM(D36:D40)</f>
        <v>0</v>
      </c>
      <c r="E35" s="373">
        <f>SUM(E36:E40)</f>
        <v>0</v>
      </c>
      <c r="F35" s="373">
        <f>SUM(F36:F40)</f>
        <v>0</v>
      </c>
    </row>
    <row r="36" spans="1:6" ht="15">
      <c r="A36" s="1434"/>
      <c r="B36" s="374" t="s">
        <v>199</v>
      </c>
      <c r="C36" s="1434"/>
      <c r="D36" s="376">
        <v>0</v>
      </c>
      <c r="E36" s="376">
        <v>0</v>
      </c>
      <c r="F36" s="376">
        <v>0</v>
      </c>
    </row>
    <row r="37" spans="1:6" ht="15.75" customHeight="1">
      <c r="A37" s="1434"/>
      <c r="B37" s="374" t="s">
        <v>200</v>
      </c>
      <c r="C37" s="1434"/>
      <c r="D37" s="376">
        <v>0</v>
      </c>
      <c r="E37" s="376">
        <v>0</v>
      </c>
      <c r="F37" s="376">
        <v>0</v>
      </c>
    </row>
    <row r="38" spans="1:6" ht="15" customHeight="1">
      <c r="A38" s="1434"/>
      <c r="B38" s="377" t="s">
        <v>201</v>
      </c>
      <c r="C38" s="1434"/>
      <c r="D38" s="376">
        <v>0</v>
      </c>
      <c r="E38" s="376">
        <v>0</v>
      </c>
      <c r="F38" s="376">
        <v>0</v>
      </c>
    </row>
    <row r="39" spans="1:6" ht="18" customHeight="1">
      <c r="A39" s="1434"/>
      <c r="B39" s="374" t="s">
        <v>202</v>
      </c>
      <c r="C39" s="1434"/>
      <c r="D39" s="376">
        <v>0</v>
      </c>
      <c r="E39" s="376">
        <v>0</v>
      </c>
      <c r="F39" s="376">
        <v>0</v>
      </c>
    </row>
    <row r="40" spans="1:6" ht="30">
      <c r="A40" s="1434"/>
      <c r="B40" s="374" t="s">
        <v>209</v>
      </c>
      <c r="C40" s="1434"/>
      <c r="D40" s="376">
        <v>0</v>
      </c>
      <c r="E40" s="376">
        <v>0</v>
      </c>
      <c r="F40" s="376">
        <v>0</v>
      </c>
    </row>
    <row r="41" spans="1:6" ht="15">
      <c r="A41" s="1434" t="s">
        <v>212</v>
      </c>
      <c r="B41" s="372" t="s">
        <v>1930</v>
      </c>
      <c r="C41" s="1434" t="s">
        <v>2104</v>
      </c>
      <c r="D41" s="376">
        <f>SUM(D42:D46)</f>
        <v>0</v>
      </c>
      <c r="E41" s="373">
        <f>SUM(E42:E46)</f>
        <v>0</v>
      </c>
      <c r="F41" s="373">
        <f>SUM(F42:F46)</f>
        <v>0</v>
      </c>
    </row>
    <row r="42" spans="1:6" ht="16.5" customHeight="1">
      <c r="A42" s="1434"/>
      <c r="B42" s="374" t="s">
        <v>199</v>
      </c>
      <c r="C42" s="1434"/>
      <c r="D42" s="376">
        <v>0</v>
      </c>
      <c r="E42" s="376">
        <v>0</v>
      </c>
      <c r="F42" s="376">
        <v>0</v>
      </c>
    </row>
    <row r="43" spans="1:6" ht="15" customHeight="1">
      <c r="A43" s="1434"/>
      <c r="B43" s="374" t="s">
        <v>200</v>
      </c>
      <c r="C43" s="1434"/>
      <c r="D43" s="376">
        <v>0</v>
      </c>
      <c r="E43" s="376">
        <v>0</v>
      </c>
      <c r="F43" s="376">
        <v>0</v>
      </c>
    </row>
    <row r="44" spans="1:6" ht="15.75" customHeight="1">
      <c r="A44" s="1434"/>
      <c r="B44" s="377" t="s">
        <v>201</v>
      </c>
      <c r="C44" s="1434"/>
      <c r="D44" s="376">
        <v>0</v>
      </c>
      <c r="E44" s="376">
        <v>0</v>
      </c>
      <c r="F44" s="376">
        <v>0</v>
      </c>
    </row>
    <row r="45" spans="1:6" ht="15" customHeight="1">
      <c r="A45" s="1434"/>
      <c r="B45" s="374" t="s">
        <v>202</v>
      </c>
      <c r="C45" s="1434"/>
      <c r="D45" s="376">
        <v>0</v>
      </c>
      <c r="E45" s="376">
        <v>0</v>
      </c>
      <c r="F45" s="376">
        <v>0</v>
      </c>
    </row>
    <row r="46" spans="1:6" ht="30">
      <c r="A46" s="1434"/>
      <c r="B46" s="374" t="s">
        <v>209</v>
      </c>
      <c r="C46" s="1434"/>
      <c r="D46" s="376">
        <v>0</v>
      </c>
      <c r="E46" s="376">
        <v>0</v>
      </c>
      <c r="F46" s="376">
        <v>0</v>
      </c>
    </row>
    <row r="47" spans="1:6" ht="14.25" customHeight="1">
      <c r="A47" s="1434" t="s">
        <v>213</v>
      </c>
      <c r="B47" s="372" t="s">
        <v>1932</v>
      </c>
      <c r="C47" s="1434" t="s">
        <v>2104</v>
      </c>
      <c r="D47" s="373">
        <f>SUM(D48:D52)</f>
        <v>891.8240000000001</v>
      </c>
      <c r="E47" s="373">
        <f>SUM(E48:E51)</f>
        <v>0</v>
      </c>
      <c r="F47" s="373">
        <f>D47</f>
        <v>891.8240000000001</v>
      </c>
    </row>
    <row r="48" spans="1:6" ht="15">
      <c r="A48" s="1434"/>
      <c r="B48" s="374" t="s">
        <v>199</v>
      </c>
      <c r="C48" s="1434"/>
      <c r="D48" s="376">
        <v>326.035</v>
      </c>
      <c r="E48" s="376">
        <v>0</v>
      </c>
      <c r="F48" s="376">
        <f>F47-F49-F50-F51</f>
        <v>326.0340000000001</v>
      </c>
    </row>
    <row r="49" spans="1:6" ht="13.5" customHeight="1">
      <c r="A49" s="1434"/>
      <c r="B49" s="374" t="s">
        <v>200</v>
      </c>
      <c r="C49" s="1434"/>
      <c r="D49" s="376">
        <v>63.26650000000001</v>
      </c>
      <c r="E49" s="376">
        <v>0</v>
      </c>
      <c r="F49" s="376">
        <f>D49-E49</f>
        <v>63.26650000000001</v>
      </c>
    </row>
    <row r="50" spans="1:6" ht="15">
      <c r="A50" s="1434"/>
      <c r="B50" s="377" t="s">
        <v>201</v>
      </c>
      <c r="C50" s="1434"/>
      <c r="D50" s="376">
        <v>435.34900000000005</v>
      </c>
      <c r="E50" s="376">
        <v>0</v>
      </c>
      <c r="F50" s="376">
        <v>435.35</v>
      </c>
    </row>
    <row r="51" spans="1:6" ht="15">
      <c r="A51" s="1434"/>
      <c r="B51" s="374" t="s">
        <v>202</v>
      </c>
      <c r="C51" s="1434"/>
      <c r="D51" s="376">
        <v>67.1735</v>
      </c>
      <c r="E51" s="376">
        <v>0</v>
      </c>
      <c r="F51" s="376">
        <f>D51-E51</f>
        <v>67.1735</v>
      </c>
    </row>
    <row r="52" spans="1:6" ht="30">
      <c r="A52" s="1434"/>
      <c r="B52" s="374" t="s">
        <v>209</v>
      </c>
      <c r="C52" s="1434"/>
      <c r="D52" s="376">
        <v>0</v>
      </c>
      <c r="E52" s="376">
        <v>0</v>
      </c>
      <c r="F52" s="376">
        <v>0</v>
      </c>
    </row>
    <row r="53" spans="1:6" ht="14.25" customHeight="1">
      <c r="A53" s="1434" t="s">
        <v>214</v>
      </c>
      <c r="B53" s="372" t="s">
        <v>2124</v>
      </c>
      <c r="C53" s="1434" t="s">
        <v>2104</v>
      </c>
      <c r="D53" s="373">
        <f>SUM(D54:D58)</f>
        <v>627.6986999999999</v>
      </c>
      <c r="E53" s="373">
        <f>SUM(E54:E57)</f>
        <v>1.264</v>
      </c>
      <c r="F53" s="373">
        <f>D53</f>
        <v>627.6986999999999</v>
      </c>
    </row>
    <row r="54" spans="1:6" ht="15">
      <c r="A54" s="1434"/>
      <c r="B54" s="374" t="s">
        <v>199</v>
      </c>
      <c r="C54" s="1434"/>
      <c r="D54" s="376">
        <v>283.962</v>
      </c>
      <c r="E54" s="376">
        <v>0</v>
      </c>
      <c r="F54" s="376">
        <f>F53-F55-F56-F57</f>
        <v>285.22599999999994</v>
      </c>
    </row>
    <row r="55" spans="1:6" ht="14.25" customHeight="1">
      <c r="A55" s="1434"/>
      <c r="B55" s="374" t="s">
        <v>200</v>
      </c>
      <c r="C55" s="1434"/>
      <c r="D55" s="376">
        <v>27.217</v>
      </c>
      <c r="E55" s="376">
        <v>1.264</v>
      </c>
      <c r="F55" s="376">
        <f>D55-E55</f>
        <v>25.953</v>
      </c>
    </row>
    <row r="56" spans="1:6" ht="16.5" customHeight="1">
      <c r="A56" s="1434"/>
      <c r="B56" s="377" t="s">
        <v>201</v>
      </c>
      <c r="C56" s="1434"/>
      <c r="D56" s="376">
        <v>281.097</v>
      </c>
      <c r="E56" s="376">
        <v>0</v>
      </c>
      <c r="F56" s="376">
        <f>D56-E56</f>
        <v>281.097</v>
      </c>
    </row>
    <row r="57" spans="1:6" ht="15" customHeight="1">
      <c r="A57" s="1434"/>
      <c r="B57" s="374" t="s">
        <v>202</v>
      </c>
      <c r="C57" s="1434"/>
      <c r="D57" s="376">
        <v>35.422700000000006</v>
      </c>
      <c r="E57" s="376">
        <v>0</v>
      </c>
      <c r="F57" s="376">
        <f>D57-E57</f>
        <v>35.422700000000006</v>
      </c>
    </row>
    <row r="58" spans="1:6" ht="30">
      <c r="A58" s="1434"/>
      <c r="B58" s="374" t="s">
        <v>209</v>
      </c>
      <c r="C58" s="1434"/>
      <c r="D58" s="376">
        <v>0</v>
      </c>
      <c r="E58" s="376">
        <v>1.264</v>
      </c>
      <c r="F58" s="376">
        <v>1.264</v>
      </c>
    </row>
    <row r="59" spans="1:6" ht="42.75">
      <c r="A59" s="1434" t="s">
        <v>215</v>
      </c>
      <c r="B59" s="381" t="s">
        <v>216</v>
      </c>
      <c r="C59" s="1434" t="s">
        <v>1732</v>
      </c>
      <c r="D59" s="376">
        <f>SUM(D60:D63)</f>
        <v>0</v>
      </c>
      <c r="E59" s="376">
        <f>SUM(E60:E63)</f>
        <v>0</v>
      </c>
      <c r="F59" s="376">
        <f>SUM(F60:F63)</f>
        <v>0</v>
      </c>
    </row>
    <row r="60" spans="1:6" ht="15">
      <c r="A60" s="1434"/>
      <c r="B60" s="374" t="s">
        <v>199</v>
      </c>
      <c r="C60" s="1434"/>
      <c r="D60" s="376">
        <v>0</v>
      </c>
      <c r="E60" s="376">
        <v>0</v>
      </c>
      <c r="F60" s="376">
        <v>0</v>
      </c>
    </row>
    <row r="61" spans="1:6" ht="15">
      <c r="A61" s="1434"/>
      <c r="B61" s="374" t="s">
        <v>200</v>
      </c>
      <c r="C61" s="1434"/>
      <c r="D61" s="376">
        <v>0</v>
      </c>
      <c r="E61" s="376">
        <v>0</v>
      </c>
      <c r="F61" s="376">
        <v>0</v>
      </c>
    </row>
    <row r="62" spans="1:6" ht="15">
      <c r="A62" s="1434"/>
      <c r="B62" s="377" t="s">
        <v>201</v>
      </c>
      <c r="C62" s="1434"/>
      <c r="D62" s="376">
        <v>0</v>
      </c>
      <c r="E62" s="376">
        <v>0</v>
      </c>
      <c r="F62" s="376">
        <v>0</v>
      </c>
    </row>
    <row r="63" spans="1:6" ht="15">
      <c r="A63" s="1434"/>
      <c r="B63" s="374" t="s">
        <v>202</v>
      </c>
      <c r="C63" s="1434"/>
      <c r="D63" s="376">
        <v>0</v>
      </c>
      <c r="E63" s="376">
        <v>0</v>
      </c>
      <c r="F63" s="376">
        <v>0</v>
      </c>
    </row>
    <row r="64" spans="1:6" ht="28.5">
      <c r="A64" s="1434" t="s">
        <v>217</v>
      </c>
      <c r="B64" s="381" t="s">
        <v>1933</v>
      </c>
      <c r="C64" s="1434" t="s">
        <v>1732</v>
      </c>
      <c r="D64" s="373">
        <f>SUM(D65:D68)</f>
        <v>37</v>
      </c>
      <c r="E64" s="373">
        <f>SUM(E65:E68)</f>
        <v>8</v>
      </c>
      <c r="F64" s="373">
        <f>D64</f>
        <v>37</v>
      </c>
    </row>
    <row r="65" spans="1:6" ht="15">
      <c r="A65" s="1434"/>
      <c r="B65" s="374" t="s">
        <v>199</v>
      </c>
      <c r="C65" s="1434"/>
      <c r="D65" s="376">
        <v>21</v>
      </c>
      <c r="E65" s="376">
        <v>0</v>
      </c>
      <c r="F65" s="376">
        <f>F64-F66-F67-F68</f>
        <v>29</v>
      </c>
    </row>
    <row r="66" spans="1:6" ht="11.25" customHeight="1">
      <c r="A66" s="1434"/>
      <c r="B66" s="374" t="s">
        <v>200</v>
      </c>
      <c r="C66" s="1434"/>
      <c r="D66" s="376">
        <v>12</v>
      </c>
      <c r="E66" s="376">
        <v>4</v>
      </c>
      <c r="F66" s="376">
        <f>D66-E66</f>
        <v>8</v>
      </c>
    </row>
    <row r="67" spans="1:6" ht="15">
      <c r="A67" s="1434"/>
      <c r="B67" s="377" t="s">
        <v>201</v>
      </c>
      <c r="C67" s="1434"/>
      <c r="D67" s="376">
        <v>4</v>
      </c>
      <c r="E67" s="376">
        <v>4</v>
      </c>
      <c r="F67" s="376">
        <v>0</v>
      </c>
    </row>
    <row r="68" spans="1:6" ht="15">
      <c r="A68" s="1434"/>
      <c r="B68" s="374" t="s">
        <v>202</v>
      </c>
      <c r="C68" s="1434"/>
      <c r="D68" s="376">
        <v>0</v>
      </c>
      <c r="E68" s="376">
        <v>0</v>
      </c>
      <c r="F68" s="376">
        <v>0</v>
      </c>
    </row>
    <row r="69" spans="1:6" ht="28.5">
      <c r="A69" s="1434" t="s">
        <v>218</v>
      </c>
      <c r="B69" s="381" t="s">
        <v>1935</v>
      </c>
      <c r="C69" s="1434" t="s">
        <v>1732</v>
      </c>
      <c r="D69" s="373">
        <f>SUM(D70:D73)</f>
        <v>127</v>
      </c>
      <c r="E69" s="373">
        <f>SUM(E70:E73)</f>
        <v>19</v>
      </c>
      <c r="F69" s="373">
        <f>D69</f>
        <v>127</v>
      </c>
    </row>
    <row r="70" spans="1:6" ht="15">
      <c r="A70" s="1434"/>
      <c r="B70" s="374" t="s">
        <v>199</v>
      </c>
      <c r="C70" s="1434"/>
      <c r="D70" s="376">
        <v>100</v>
      </c>
      <c r="E70" s="376">
        <v>0</v>
      </c>
      <c r="F70" s="376">
        <f>F69-F71-F72-F73</f>
        <v>119</v>
      </c>
    </row>
    <row r="71" spans="1:6" ht="11.25" customHeight="1">
      <c r="A71" s="1434"/>
      <c r="B71" s="374" t="s">
        <v>200</v>
      </c>
      <c r="C71" s="1434"/>
      <c r="D71" s="376">
        <v>11</v>
      </c>
      <c r="E71" s="376">
        <v>3</v>
      </c>
      <c r="F71" s="376">
        <f>D71-E71</f>
        <v>8</v>
      </c>
    </row>
    <row r="72" spans="1:6" ht="15">
      <c r="A72" s="1434"/>
      <c r="B72" s="377" t="s">
        <v>201</v>
      </c>
      <c r="C72" s="1434"/>
      <c r="D72" s="376">
        <v>16</v>
      </c>
      <c r="E72" s="376">
        <v>16</v>
      </c>
      <c r="F72" s="376">
        <v>0</v>
      </c>
    </row>
    <row r="73" spans="1:6" ht="15">
      <c r="A73" s="1434"/>
      <c r="B73" s="374" t="s">
        <v>202</v>
      </c>
      <c r="C73" s="1434"/>
      <c r="D73" s="376">
        <v>0</v>
      </c>
      <c r="E73" s="376">
        <v>0</v>
      </c>
      <c r="F73" s="376">
        <v>0</v>
      </c>
    </row>
    <row r="74" spans="1:6" ht="44.25" customHeight="1">
      <c r="A74" s="1434" t="s">
        <v>219</v>
      </c>
      <c r="B74" s="372" t="s">
        <v>220</v>
      </c>
      <c r="C74" s="1434" t="s">
        <v>1732</v>
      </c>
      <c r="D74" s="373">
        <f>SUM(D75:D78)</f>
        <v>8481</v>
      </c>
      <c r="E74" s="373">
        <f>SUM(E75:E78)</f>
        <v>1571</v>
      </c>
      <c r="F74" s="373">
        <f>D74</f>
        <v>8481</v>
      </c>
    </row>
    <row r="75" spans="1:7" ht="18.75" customHeight="1">
      <c r="A75" s="1434"/>
      <c r="B75" s="374" t="s">
        <v>199</v>
      </c>
      <c r="C75" s="1434"/>
      <c r="D75" s="376">
        <v>3498</v>
      </c>
      <c r="E75" s="376">
        <v>0</v>
      </c>
      <c r="F75" s="376">
        <f>F74-F76-F77-F78+1</f>
        <v>5070</v>
      </c>
      <c r="G75" s="109"/>
    </row>
    <row r="76" spans="1:6" ht="16.5" customHeight="1">
      <c r="A76" s="1434"/>
      <c r="B76" s="374" t="s">
        <v>200</v>
      </c>
      <c r="C76" s="1434"/>
      <c r="D76" s="376">
        <v>1723</v>
      </c>
      <c r="E76" s="376">
        <v>0</v>
      </c>
      <c r="F76" s="376">
        <f>D76-E76</f>
        <v>1723</v>
      </c>
    </row>
    <row r="77" spans="1:6" ht="15">
      <c r="A77" s="1434"/>
      <c r="B77" s="377" t="s">
        <v>201</v>
      </c>
      <c r="C77" s="1434"/>
      <c r="D77" s="376">
        <v>2898</v>
      </c>
      <c r="E77" s="376">
        <v>1571</v>
      </c>
      <c r="F77" s="376">
        <f>D77-E77</f>
        <v>1327</v>
      </c>
    </row>
    <row r="78" spans="1:6" ht="15.75" customHeight="1">
      <c r="A78" s="1434"/>
      <c r="B78" s="374" t="s">
        <v>202</v>
      </c>
      <c r="C78" s="1434"/>
      <c r="D78" s="376">
        <v>362</v>
      </c>
      <c r="E78" s="376">
        <v>0</v>
      </c>
      <c r="F78" s="376">
        <f>D78-E78</f>
        <v>362</v>
      </c>
    </row>
    <row r="79" spans="1:6" ht="42.75">
      <c r="A79" s="1434" t="s">
        <v>221</v>
      </c>
      <c r="B79" s="372" t="s">
        <v>222</v>
      </c>
      <c r="C79" s="1434" t="s">
        <v>1732</v>
      </c>
      <c r="D79" s="376">
        <f>SUM(D80:D82)</f>
        <v>0</v>
      </c>
      <c r="E79" s="376">
        <f>SUM(E80:E82)</f>
        <v>0</v>
      </c>
      <c r="F79" s="376">
        <f>SUM(F80:F82)</f>
        <v>0</v>
      </c>
    </row>
    <row r="80" spans="1:6" ht="15.75" customHeight="1">
      <c r="A80" s="1434"/>
      <c r="B80" s="374" t="s">
        <v>199</v>
      </c>
      <c r="C80" s="1434"/>
      <c r="D80" s="376">
        <v>0</v>
      </c>
      <c r="E80" s="376">
        <v>0</v>
      </c>
      <c r="F80" s="376">
        <v>0</v>
      </c>
    </row>
    <row r="81" spans="1:6" ht="43.5" customHeight="1">
      <c r="A81" s="1434"/>
      <c r="B81" s="374" t="s">
        <v>223</v>
      </c>
      <c r="C81" s="1434"/>
      <c r="D81" s="376">
        <v>0</v>
      </c>
      <c r="E81" s="376">
        <v>0</v>
      </c>
      <c r="F81" s="376">
        <v>0</v>
      </c>
    </row>
    <row r="82" spans="1:6" ht="30">
      <c r="A82" s="1434"/>
      <c r="B82" s="374" t="s">
        <v>224</v>
      </c>
      <c r="C82" s="1434"/>
      <c r="D82" s="376">
        <v>0</v>
      </c>
      <c r="E82" s="376">
        <v>0</v>
      </c>
      <c r="F82" s="376">
        <v>0</v>
      </c>
    </row>
    <row r="83" spans="1:6" ht="42.75">
      <c r="A83" s="1434" t="s">
        <v>225</v>
      </c>
      <c r="B83" s="381" t="s">
        <v>226</v>
      </c>
      <c r="C83" s="1434" t="s">
        <v>1732</v>
      </c>
      <c r="D83" s="376">
        <f>SUM(D84:D86)</f>
        <v>63</v>
      </c>
      <c r="E83" s="376">
        <f>SUM(E84:E86)</f>
        <v>2</v>
      </c>
      <c r="F83" s="376">
        <f>D83</f>
        <v>63</v>
      </c>
    </row>
    <row r="84" spans="1:6" ht="15">
      <c r="A84" s="1434"/>
      <c r="B84" s="374" t="s">
        <v>199</v>
      </c>
      <c r="C84" s="1434"/>
      <c r="D84" s="376">
        <v>52</v>
      </c>
      <c r="E84" s="376">
        <v>0</v>
      </c>
      <c r="F84" s="376">
        <f>F83-F85-F86</f>
        <v>54</v>
      </c>
    </row>
    <row r="85" spans="1:6" ht="30">
      <c r="A85" s="1434"/>
      <c r="B85" s="374" t="s">
        <v>227</v>
      </c>
      <c r="C85" s="1434"/>
      <c r="D85" s="376">
        <v>11</v>
      </c>
      <c r="E85" s="376">
        <v>2</v>
      </c>
      <c r="F85" s="376">
        <f>D85-E85</f>
        <v>9</v>
      </c>
    </row>
    <row r="86" spans="1:6" ht="30">
      <c r="A86" s="1434"/>
      <c r="B86" s="374" t="s">
        <v>224</v>
      </c>
      <c r="C86" s="1434"/>
      <c r="D86" s="376">
        <v>0</v>
      </c>
      <c r="E86" s="376">
        <v>0</v>
      </c>
      <c r="F86" s="376">
        <v>0</v>
      </c>
    </row>
    <row r="87" spans="1:6" ht="47.25" customHeight="1">
      <c r="A87" s="1434" t="s">
        <v>228</v>
      </c>
      <c r="B87" s="381" t="s">
        <v>229</v>
      </c>
      <c r="C87" s="1434" t="s">
        <v>1732</v>
      </c>
      <c r="D87" s="373">
        <f>SUM(D88:D90)</f>
        <v>201</v>
      </c>
      <c r="E87" s="373">
        <f>SUM(E88:E90)</f>
        <v>2</v>
      </c>
      <c r="F87" s="373">
        <f>D87</f>
        <v>201</v>
      </c>
    </row>
    <row r="88" spans="1:6" ht="15">
      <c r="A88" s="1434"/>
      <c r="B88" s="374" t="s">
        <v>199</v>
      </c>
      <c r="C88" s="1434"/>
      <c r="D88" s="376">
        <v>117</v>
      </c>
      <c r="E88" s="376">
        <v>0</v>
      </c>
      <c r="F88" s="376">
        <f>F87-F89-F90</f>
        <v>119</v>
      </c>
    </row>
    <row r="89" spans="1:6" ht="26.25" customHeight="1">
      <c r="A89" s="1434"/>
      <c r="B89" s="374" t="s">
        <v>227</v>
      </c>
      <c r="C89" s="1434"/>
      <c r="D89" s="376">
        <v>84</v>
      </c>
      <c r="E89" s="376">
        <v>2</v>
      </c>
      <c r="F89" s="376">
        <f>D89-E89</f>
        <v>82</v>
      </c>
    </row>
    <row r="90" spans="1:6" ht="27" customHeight="1">
      <c r="A90" s="1434"/>
      <c r="B90" s="374" t="s">
        <v>224</v>
      </c>
      <c r="C90" s="1434"/>
      <c r="D90" s="376">
        <v>0</v>
      </c>
      <c r="E90" s="376">
        <v>0</v>
      </c>
      <c r="F90" s="376">
        <v>0</v>
      </c>
    </row>
    <row r="91" spans="1:6" ht="45" customHeight="1">
      <c r="A91" s="1434" t="s">
        <v>230</v>
      </c>
      <c r="B91" s="381" t="s">
        <v>231</v>
      </c>
      <c r="C91" s="1434" t="s">
        <v>1732</v>
      </c>
      <c r="D91" s="373">
        <f>SUM(D92:D94)</f>
        <v>9069</v>
      </c>
      <c r="E91" s="373">
        <f>SUM(E92:E94)</f>
        <v>0</v>
      </c>
      <c r="F91" s="373">
        <f>D91+1</f>
        <v>9070</v>
      </c>
    </row>
    <row r="92" spans="1:6" ht="16.5" customHeight="1">
      <c r="A92" s="1434"/>
      <c r="B92" s="374" t="s">
        <v>199</v>
      </c>
      <c r="C92" s="1434"/>
      <c r="D92" s="376">
        <v>6642</v>
      </c>
      <c r="E92" s="376">
        <v>0</v>
      </c>
      <c r="F92" s="376">
        <f>F91-F93-F94-F95+1</f>
        <v>6644</v>
      </c>
    </row>
    <row r="93" spans="1:6" ht="27" customHeight="1">
      <c r="A93" s="1434"/>
      <c r="B93" s="374" t="s">
        <v>227</v>
      </c>
      <c r="C93" s="1434"/>
      <c r="D93" s="376">
        <v>2427</v>
      </c>
      <c r="E93" s="376">
        <v>0</v>
      </c>
      <c r="F93" s="376">
        <f>D93-E93</f>
        <v>2427</v>
      </c>
    </row>
    <row r="94" spans="1:6" ht="29.25" customHeight="1">
      <c r="A94" s="1434"/>
      <c r="B94" s="374" t="s">
        <v>224</v>
      </c>
      <c r="C94" s="1434"/>
      <c r="D94" s="382">
        <v>0</v>
      </c>
      <c r="E94" s="382">
        <v>0</v>
      </c>
      <c r="F94" s="382">
        <f>D94-E94</f>
        <v>0</v>
      </c>
    </row>
    <row r="95" spans="1:6" ht="12" customHeight="1">
      <c r="A95" s="1435"/>
      <c r="B95" s="1435"/>
      <c r="C95" s="1435"/>
      <c r="D95" s="1435"/>
      <c r="E95" s="1435"/>
      <c r="F95" s="1435"/>
    </row>
    <row r="96" spans="1:6" ht="27.75" customHeight="1">
      <c r="A96" s="1436" t="s">
        <v>232</v>
      </c>
      <c r="B96" s="1436"/>
      <c r="C96" s="1436"/>
      <c r="D96" s="1436"/>
      <c r="E96" s="1436"/>
      <c r="F96" s="1436"/>
    </row>
    <row r="97" spans="1:6" ht="14.25">
      <c r="A97" s="1437"/>
      <c r="B97" s="1437"/>
      <c r="C97" s="1437"/>
      <c r="D97" s="1437"/>
      <c r="E97" s="1437"/>
      <c r="F97" s="1437"/>
    </row>
    <row r="98" spans="1:6" ht="12.75">
      <c r="A98" s="110"/>
      <c r="B98" s="110"/>
      <c r="C98" s="110"/>
      <c r="D98" s="110"/>
      <c r="E98" s="110"/>
      <c r="F98" s="110"/>
    </row>
  </sheetData>
  <sheetProtection/>
  <mergeCells count="40">
    <mergeCell ref="A95:F95"/>
    <mergeCell ref="A96:F96"/>
    <mergeCell ref="A97:F97"/>
    <mergeCell ref="A83:A86"/>
    <mergeCell ref="C83:C86"/>
    <mergeCell ref="A87:A90"/>
    <mergeCell ref="C87:C90"/>
    <mergeCell ref="A91:A94"/>
    <mergeCell ref="C91:C94"/>
    <mergeCell ref="A69:A73"/>
    <mergeCell ref="C69:C73"/>
    <mergeCell ref="A74:A78"/>
    <mergeCell ref="C74:C78"/>
    <mergeCell ref="A79:A82"/>
    <mergeCell ref="C79:C82"/>
    <mergeCell ref="A53:A58"/>
    <mergeCell ref="C53:C58"/>
    <mergeCell ref="A59:A63"/>
    <mergeCell ref="C59:C63"/>
    <mergeCell ref="A64:A68"/>
    <mergeCell ref="C64:C68"/>
    <mergeCell ref="A35:A40"/>
    <mergeCell ref="C35:C40"/>
    <mergeCell ref="A41:A46"/>
    <mergeCell ref="C41:C46"/>
    <mergeCell ref="A47:A52"/>
    <mergeCell ref="C47:C52"/>
    <mergeCell ref="A19:A23"/>
    <mergeCell ref="C19:C23"/>
    <mergeCell ref="A24:A28"/>
    <mergeCell ref="C24:C28"/>
    <mergeCell ref="A29:A34"/>
    <mergeCell ref="C29:C34"/>
    <mergeCell ref="A1:F1"/>
    <mergeCell ref="A4:A8"/>
    <mergeCell ref="C4:C8"/>
    <mergeCell ref="A9:A13"/>
    <mergeCell ref="C9:C13"/>
    <mergeCell ref="A14:A18"/>
    <mergeCell ref="C14:C18"/>
  </mergeCells>
  <printOptions/>
  <pageMargins left="0.5905511811023623" right="0.3937007874015748" top="0.5905511811023623" bottom="0.4724409448818898" header="0.15748031496062992" footer="0.15748031496062992"/>
  <pageSetup horizontalDpi="600" verticalDpi="600" orientation="portrait" paperSize="9" scale="75" r:id="rId1"/>
  <rowBreaks count="1" manualBreakCount="1">
    <brk id="58" max="5" man="1"/>
  </rowBreaks>
</worksheet>
</file>

<file path=xl/worksheets/sheet6.xml><?xml version="1.0" encoding="utf-8"?>
<worksheet xmlns="http://schemas.openxmlformats.org/spreadsheetml/2006/main" xmlns:r="http://schemas.openxmlformats.org/officeDocument/2006/relationships">
  <sheetPr>
    <tabColor indexed="19"/>
  </sheetPr>
  <dimension ref="A1:J217"/>
  <sheetViews>
    <sheetView view="pageBreakPreview" zoomScaleSheetLayoutView="100" zoomScalePageLayoutView="0" workbookViewId="0" topLeftCell="A1">
      <selection activeCell="G194" sqref="G194"/>
    </sheetView>
  </sheetViews>
  <sheetFormatPr defaultColWidth="9.00390625" defaultRowHeight="12.75"/>
  <cols>
    <col min="1" max="1" width="4.125" style="108" customWidth="1"/>
    <col min="2" max="2" width="32.875" style="108" customWidth="1"/>
    <col min="3" max="3" width="13.625" style="108" customWidth="1"/>
    <col min="4" max="4" width="12.375" style="108" customWidth="1"/>
    <col min="5" max="5" width="10.125" style="108" customWidth="1"/>
    <col min="6" max="6" width="11.125" style="108" customWidth="1"/>
    <col min="7" max="7" width="11.75390625" style="108" customWidth="1"/>
    <col min="8" max="8" width="9.75390625" style="108" customWidth="1"/>
    <col min="9" max="9" width="9.875" style="108" customWidth="1"/>
    <col min="10" max="16384" width="9.125" style="108" customWidth="1"/>
  </cols>
  <sheetData>
    <row r="1" spans="1:9" ht="26.25" customHeight="1">
      <c r="A1" s="1438" t="s">
        <v>233</v>
      </c>
      <c r="B1" s="1439"/>
      <c r="C1" s="1439"/>
      <c r="D1" s="1439"/>
      <c r="E1" s="1439"/>
      <c r="F1" s="1439"/>
      <c r="G1" s="1439"/>
      <c r="H1" s="1439"/>
      <c r="I1" s="1439"/>
    </row>
    <row r="2" spans="1:9" ht="61.5" customHeight="1">
      <c r="A2" s="370" t="s">
        <v>2082</v>
      </c>
      <c r="B2" s="370" t="s">
        <v>1672</v>
      </c>
      <c r="C2" s="370" t="s">
        <v>234</v>
      </c>
      <c r="D2" s="1440" t="s">
        <v>2161</v>
      </c>
      <c r="E2" s="1440"/>
      <c r="F2" s="1440"/>
      <c r="G2" s="1440" t="s">
        <v>2162</v>
      </c>
      <c r="H2" s="1440"/>
      <c r="I2" s="1440"/>
    </row>
    <row r="3" spans="1:9" s="111" customFormat="1" ht="14.25" customHeight="1">
      <c r="A3" s="383">
        <v>1</v>
      </c>
      <c r="B3" s="383">
        <v>2</v>
      </c>
      <c r="C3" s="383">
        <v>3</v>
      </c>
      <c r="D3" s="1441">
        <v>4</v>
      </c>
      <c r="E3" s="1442"/>
      <c r="F3" s="1442"/>
      <c r="G3" s="1441">
        <v>5</v>
      </c>
      <c r="H3" s="1442"/>
      <c r="I3" s="1443"/>
    </row>
    <row r="4" spans="1:9" ht="50.25" customHeight="1">
      <c r="A4" s="1444">
        <v>1</v>
      </c>
      <c r="B4" s="385" t="s">
        <v>235</v>
      </c>
      <c r="C4" s="1445" t="s">
        <v>2104</v>
      </c>
      <c r="D4" s="1447">
        <f>SUM(D6,D7,D9,D11,D13,D15,D17)</f>
        <v>34856.6</v>
      </c>
      <c r="E4" s="1448"/>
      <c r="F4" s="1449"/>
      <c r="G4" s="1447">
        <f>SUM(G6,G7,G9,G11,G13,G15,G17)</f>
        <v>34856.6</v>
      </c>
      <c r="H4" s="1448"/>
      <c r="I4" s="1449"/>
    </row>
    <row r="5" spans="1:9" ht="15">
      <c r="A5" s="1444"/>
      <c r="B5" s="387" t="s">
        <v>1744</v>
      </c>
      <c r="C5" s="1446"/>
      <c r="D5" s="1450"/>
      <c r="E5" s="1451"/>
      <c r="F5" s="1452"/>
      <c r="G5" s="1450"/>
      <c r="H5" s="1451"/>
      <c r="I5" s="1452"/>
    </row>
    <row r="6" spans="1:9" ht="15">
      <c r="A6" s="1444"/>
      <c r="B6" s="385" t="s">
        <v>2125</v>
      </c>
      <c r="C6" s="389" t="s">
        <v>236</v>
      </c>
      <c r="D6" s="373">
        <v>0</v>
      </c>
      <c r="E6" s="1453">
        <f>IF(D4=0,0,D6/D4)</f>
        <v>0</v>
      </c>
      <c r="F6" s="1454"/>
      <c r="G6" s="373">
        <v>0</v>
      </c>
      <c r="H6" s="1453">
        <f>IF(G4=0,0,G6/G4)</f>
        <v>0</v>
      </c>
      <c r="I6" s="1454"/>
    </row>
    <row r="7" spans="1:9" ht="15">
      <c r="A7" s="1444"/>
      <c r="B7" s="385" t="s">
        <v>1739</v>
      </c>
      <c r="C7" s="389" t="s">
        <v>236</v>
      </c>
      <c r="D7" s="373">
        <v>0</v>
      </c>
      <c r="E7" s="1453">
        <f>IF(D4=0,0,D7/D4)</f>
        <v>0</v>
      </c>
      <c r="F7" s="1454"/>
      <c r="G7" s="373">
        <v>0</v>
      </c>
      <c r="H7" s="1453">
        <f>IF(G4=0,0,G7/G4)</f>
        <v>0</v>
      </c>
      <c r="I7" s="1454"/>
    </row>
    <row r="8" spans="1:9" ht="15">
      <c r="A8" s="1444"/>
      <c r="B8" s="387" t="s">
        <v>237</v>
      </c>
      <c r="C8" s="389" t="s">
        <v>236</v>
      </c>
      <c r="D8" s="373">
        <v>0</v>
      </c>
      <c r="E8" s="1453">
        <f>IF(D7=0,0,D8/D7)</f>
        <v>0</v>
      </c>
      <c r="F8" s="1454"/>
      <c r="G8" s="373">
        <v>0</v>
      </c>
      <c r="H8" s="1453">
        <f>IF(G7=0,0,G8/G7)</f>
        <v>0</v>
      </c>
      <c r="I8" s="1454"/>
    </row>
    <row r="9" spans="1:9" ht="15">
      <c r="A9" s="1444"/>
      <c r="B9" s="385" t="s">
        <v>1740</v>
      </c>
      <c r="C9" s="389" t="s">
        <v>236</v>
      </c>
      <c r="D9" s="376">
        <v>1368.26</v>
      </c>
      <c r="E9" s="1453">
        <f>IF(D4=0,0,D9/D4)</f>
        <v>0.03925397198808834</v>
      </c>
      <c r="F9" s="1454"/>
      <c r="G9" s="376">
        <f>D9</f>
        <v>1368.26</v>
      </c>
      <c r="H9" s="1453">
        <f>IF(G4=0,0,G9/G4)</f>
        <v>0.03925397198808834</v>
      </c>
      <c r="I9" s="1454"/>
    </row>
    <row r="10" spans="1:9" ht="15">
      <c r="A10" s="1444"/>
      <c r="B10" s="387" t="s">
        <v>237</v>
      </c>
      <c r="C10" s="389" t="s">
        <v>236</v>
      </c>
      <c r="D10" s="376">
        <v>0</v>
      </c>
      <c r="E10" s="1453">
        <f>IF(D9=0,0,D10/D9)</f>
        <v>0</v>
      </c>
      <c r="F10" s="1454"/>
      <c r="G10" s="376">
        <v>0</v>
      </c>
      <c r="H10" s="1453">
        <f>IF(G9=0,0,G10/G9)</f>
        <v>0</v>
      </c>
      <c r="I10" s="1454"/>
    </row>
    <row r="11" spans="1:9" ht="15">
      <c r="A11" s="1444"/>
      <c r="B11" s="385" t="s">
        <v>1741</v>
      </c>
      <c r="C11" s="389" t="s">
        <v>236</v>
      </c>
      <c r="D11" s="376">
        <v>2668.03</v>
      </c>
      <c r="E11" s="1453">
        <f>IF(D4=0,0,D11/D4)</f>
        <v>0.07654303632597557</v>
      </c>
      <c r="F11" s="1454"/>
      <c r="G11" s="376">
        <f>D11</f>
        <v>2668.03</v>
      </c>
      <c r="H11" s="1453">
        <f>IF(G4=0,0,G11/G4)</f>
        <v>0.07654303632597557</v>
      </c>
      <c r="I11" s="1454"/>
    </row>
    <row r="12" spans="1:9" ht="15">
      <c r="A12" s="1444"/>
      <c r="B12" s="387" t="s">
        <v>238</v>
      </c>
      <c r="C12" s="389" t="s">
        <v>236</v>
      </c>
      <c r="D12" s="376">
        <v>0</v>
      </c>
      <c r="E12" s="1453">
        <f>IF(D11=0,0,D12/D11)</f>
        <v>0</v>
      </c>
      <c r="F12" s="1454"/>
      <c r="G12" s="376">
        <v>0</v>
      </c>
      <c r="H12" s="1453">
        <f>IF(G11=0,0,G12/G11)</f>
        <v>0</v>
      </c>
      <c r="I12" s="1454"/>
    </row>
    <row r="13" spans="1:9" ht="15">
      <c r="A13" s="1444"/>
      <c r="B13" s="385" t="s">
        <v>1742</v>
      </c>
      <c r="C13" s="389" t="s">
        <v>236</v>
      </c>
      <c r="D13" s="376">
        <v>12751.680999999999</v>
      </c>
      <c r="E13" s="1453">
        <f>IF(D4=0,0,D13/D4)</f>
        <v>0.36583261132755346</v>
      </c>
      <c r="F13" s="1454"/>
      <c r="G13" s="376">
        <v>12751.680999999999</v>
      </c>
      <c r="H13" s="1453">
        <f>IF(G4=0,0,G13/G4)</f>
        <v>0.36583261132755346</v>
      </c>
      <c r="I13" s="1454"/>
    </row>
    <row r="14" spans="1:9" ht="15">
      <c r="A14" s="1444"/>
      <c r="B14" s="387" t="s">
        <v>238</v>
      </c>
      <c r="C14" s="389" t="s">
        <v>236</v>
      </c>
      <c r="D14" s="376">
        <v>2.1999999999999997</v>
      </c>
      <c r="E14" s="1453">
        <f>IF(D13=0,0,D14/D13)</f>
        <v>0.0001725262732027252</v>
      </c>
      <c r="F14" s="1454"/>
      <c r="G14" s="376">
        <v>2.1999999999999997</v>
      </c>
      <c r="H14" s="1453">
        <f>IF(G13=0,0,G14/G13)</f>
        <v>0.0001725262732027252</v>
      </c>
      <c r="I14" s="1454"/>
    </row>
    <row r="15" spans="1:9" ht="15">
      <c r="A15" s="1444"/>
      <c r="B15" s="385" t="s">
        <v>1743</v>
      </c>
      <c r="C15" s="389" t="s">
        <v>236</v>
      </c>
      <c r="D15" s="376">
        <v>17.3</v>
      </c>
      <c r="E15" s="1453">
        <f>IF(D4=0,0,D15/D4)</f>
        <v>0.0004963192049712251</v>
      </c>
      <c r="F15" s="1454"/>
      <c r="G15" s="376">
        <v>17.3</v>
      </c>
      <c r="H15" s="1453">
        <f>IF(G4=0,0,G15/G4)</f>
        <v>0.0004963192049712251</v>
      </c>
      <c r="I15" s="1454"/>
    </row>
    <row r="16" spans="1:9" ht="15">
      <c r="A16" s="1444"/>
      <c r="B16" s="387" t="s">
        <v>237</v>
      </c>
      <c r="C16" s="389" t="s">
        <v>236</v>
      </c>
      <c r="D16" s="376">
        <v>0</v>
      </c>
      <c r="E16" s="1453">
        <f>IF(D15=0,0,D16/D15)</f>
        <v>0</v>
      </c>
      <c r="F16" s="1454"/>
      <c r="G16" s="376">
        <v>0</v>
      </c>
      <c r="H16" s="1453">
        <f>IF(G15=0,0,G16/G15)</f>
        <v>0</v>
      </c>
      <c r="I16" s="1454"/>
    </row>
    <row r="17" spans="1:9" ht="15">
      <c r="A17" s="1444"/>
      <c r="B17" s="385" t="s">
        <v>239</v>
      </c>
      <c r="C17" s="389" t="s">
        <v>236</v>
      </c>
      <c r="D17" s="376">
        <v>18051.329</v>
      </c>
      <c r="E17" s="1453">
        <f>IF(D4=0,0,D17/D4)</f>
        <v>0.5178740611534115</v>
      </c>
      <c r="F17" s="1454"/>
      <c r="G17" s="376">
        <v>18051.329</v>
      </c>
      <c r="H17" s="1453">
        <f>IF(G4=0,0,G17/G4)</f>
        <v>0.5178740611534115</v>
      </c>
      <c r="I17" s="1454"/>
    </row>
    <row r="18" spans="1:9" ht="15">
      <c r="A18" s="1444"/>
      <c r="B18" s="387" t="s">
        <v>237</v>
      </c>
      <c r="C18" s="389" t="s">
        <v>236</v>
      </c>
      <c r="D18" s="376">
        <v>497.9790000000001</v>
      </c>
      <c r="E18" s="1453">
        <f>IF(D17=0,0,D18/D17)</f>
        <v>0.027586833080267943</v>
      </c>
      <c r="F18" s="1454"/>
      <c r="G18" s="376">
        <v>472.969</v>
      </c>
      <c r="H18" s="1453">
        <f>IF(G17=0,0,G18/G17)</f>
        <v>0.02620133952464109</v>
      </c>
      <c r="I18" s="1454"/>
    </row>
    <row r="19" spans="1:9" ht="15">
      <c r="A19" s="1444"/>
      <c r="B19" s="387" t="s">
        <v>240</v>
      </c>
      <c r="C19" s="389" t="s">
        <v>2104</v>
      </c>
      <c r="D19" s="1455">
        <v>11.51</v>
      </c>
      <c r="E19" s="1456"/>
      <c r="F19" s="1457"/>
      <c r="G19" s="1455">
        <v>11.51</v>
      </c>
      <c r="H19" s="1456"/>
      <c r="I19" s="1457"/>
    </row>
    <row r="20" spans="1:10" ht="30">
      <c r="A20" s="1444"/>
      <c r="B20" s="387" t="s">
        <v>241</v>
      </c>
      <c r="C20" s="389" t="s">
        <v>2104</v>
      </c>
      <c r="D20" s="1455">
        <v>567.4879999999999</v>
      </c>
      <c r="E20" s="1456"/>
      <c r="F20" s="1457"/>
      <c r="G20" s="1455">
        <f>D20+49.979+3.83</f>
        <v>621.297</v>
      </c>
      <c r="H20" s="1456"/>
      <c r="I20" s="1457"/>
      <c r="J20" s="109"/>
    </row>
    <row r="21" spans="1:9" ht="15" customHeight="1">
      <c r="A21" s="1444"/>
      <c r="B21" s="385" t="s">
        <v>242</v>
      </c>
      <c r="C21" s="389" t="s">
        <v>243</v>
      </c>
      <c r="D21" s="390">
        <v>424630</v>
      </c>
      <c r="E21" s="1455">
        <v>5921.345</v>
      </c>
      <c r="F21" s="1457"/>
      <c r="G21" s="390">
        <v>424630</v>
      </c>
      <c r="H21" s="1455">
        <v>5921.345</v>
      </c>
      <c r="I21" s="1457"/>
    </row>
    <row r="22" spans="1:9" ht="30">
      <c r="A22" s="1444"/>
      <c r="B22" s="387" t="s">
        <v>244</v>
      </c>
      <c r="C22" s="389" t="s">
        <v>236</v>
      </c>
      <c r="D22" s="376">
        <v>2072.622</v>
      </c>
      <c r="E22" s="1453">
        <f>IF(E21=0,0,D22/E21)</f>
        <v>0.3500255431831788</v>
      </c>
      <c r="F22" s="1454"/>
      <c r="G22" s="376">
        <f>2072.622+23</f>
        <v>2095.622</v>
      </c>
      <c r="H22" s="1453">
        <f>IF(H21=0,0,G22/H21)</f>
        <v>0.3539097958318591</v>
      </c>
      <c r="I22" s="1454"/>
    </row>
    <row r="23" spans="1:9" ht="30" customHeight="1">
      <c r="A23" s="1444">
        <v>2</v>
      </c>
      <c r="B23" s="385" t="s">
        <v>245</v>
      </c>
      <c r="C23" s="1445" t="s">
        <v>2104</v>
      </c>
      <c r="D23" s="1447">
        <f>SUM(D25,D27,D29,D31,D33,D35)</f>
        <v>1519.5229999999997</v>
      </c>
      <c r="E23" s="1448"/>
      <c r="F23" s="1449"/>
      <c r="G23" s="1447">
        <f>SUM(G25,G27,G29,G31,G33,G35)</f>
        <v>1519.5229999999997</v>
      </c>
      <c r="H23" s="1448"/>
      <c r="I23" s="1449"/>
    </row>
    <row r="24" spans="1:9" ht="15">
      <c r="A24" s="1444"/>
      <c r="B24" s="387" t="s">
        <v>1744</v>
      </c>
      <c r="C24" s="1446"/>
      <c r="D24" s="1450"/>
      <c r="E24" s="1451"/>
      <c r="F24" s="1452"/>
      <c r="G24" s="1450"/>
      <c r="H24" s="1451"/>
      <c r="I24" s="1452"/>
    </row>
    <row r="25" spans="1:9" ht="15">
      <c r="A25" s="1444"/>
      <c r="B25" s="385" t="s">
        <v>2125</v>
      </c>
      <c r="C25" s="389" t="s">
        <v>236</v>
      </c>
      <c r="D25" s="373">
        <v>0</v>
      </c>
      <c r="E25" s="1453">
        <f>IF(D23=0,0,D25/D23)</f>
        <v>0</v>
      </c>
      <c r="F25" s="1454"/>
      <c r="G25" s="373">
        <v>0</v>
      </c>
      <c r="H25" s="1453">
        <f>IF(G23=0,0,G25/G23)</f>
        <v>0</v>
      </c>
      <c r="I25" s="1454"/>
    </row>
    <row r="26" spans="1:9" ht="15">
      <c r="A26" s="1444"/>
      <c r="B26" s="387" t="s">
        <v>246</v>
      </c>
      <c r="C26" s="389" t="s">
        <v>236</v>
      </c>
      <c r="D26" s="373">
        <v>0</v>
      </c>
      <c r="E26" s="1453">
        <f>IF(D25=0,0,D26/D25)</f>
        <v>0</v>
      </c>
      <c r="F26" s="1454"/>
      <c r="G26" s="373">
        <v>0</v>
      </c>
      <c r="H26" s="1453">
        <f>IF(G25=0,0,G26/G25)</f>
        <v>0</v>
      </c>
      <c r="I26" s="1454"/>
    </row>
    <row r="27" spans="1:9" ht="15">
      <c r="A27" s="1444"/>
      <c r="B27" s="385" t="s">
        <v>1740</v>
      </c>
      <c r="C27" s="389" t="s">
        <v>236</v>
      </c>
      <c r="D27" s="373">
        <v>0</v>
      </c>
      <c r="E27" s="1453">
        <f>IF(D23=0,0,D27/D23)</f>
        <v>0</v>
      </c>
      <c r="F27" s="1454"/>
      <c r="G27" s="373">
        <v>0</v>
      </c>
      <c r="H27" s="1453">
        <f>IF(G23=0,0,G27/G23)</f>
        <v>0</v>
      </c>
      <c r="I27" s="1454"/>
    </row>
    <row r="28" spans="1:9" ht="15">
      <c r="A28" s="1444"/>
      <c r="B28" s="387" t="s">
        <v>246</v>
      </c>
      <c r="C28" s="389" t="s">
        <v>236</v>
      </c>
      <c r="D28" s="373">
        <v>0</v>
      </c>
      <c r="E28" s="1453">
        <f>IF(D27=0,0,D28/D27)</f>
        <v>0</v>
      </c>
      <c r="F28" s="1454"/>
      <c r="G28" s="373">
        <v>0</v>
      </c>
      <c r="H28" s="1453">
        <f>IF(G27=0,0,G28/G27)</f>
        <v>0</v>
      </c>
      <c r="I28" s="1454"/>
    </row>
    <row r="29" spans="1:9" ht="15">
      <c r="A29" s="1444"/>
      <c r="B29" s="385" t="s">
        <v>1741</v>
      </c>
      <c r="C29" s="389" t="s">
        <v>236</v>
      </c>
      <c r="D29" s="373">
        <v>0</v>
      </c>
      <c r="E29" s="1453">
        <f>IF(D23=0,0,D29/D23)</f>
        <v>0</v>
      </c>
      <c r="F29" s="1454"/>
      <c r="G29" s="373">
        <v>0</v>
      </c>
      <c r="H29" s="1453">
        <f>IF(G23=0,0,G29/G23)</f>
        <v>0</v>
      </c>
      <c r="I29" s="1454"/>
    </row>
    <row r="30" spans="1:9" ht="15">
      <c r="A30" s="1444"/>
      <c r="B30" s="387" t="s">
        <v>246</v>
      </c>
      <c r="C30" s="389" t="s">
        <v>236</v>
      </c>
      <c r="D30" s="373">
        <v>0</v>
      </c>
      <c r="E30" s="1453">
        <f>IF(D29=0,0,D30/D29)</f>
        <v>0</v>
      </c>
      <c r="F30" s="1454"/>
      <c r="G30" s="373">
        <v>0</v>
      </c>
      <c r="H30" s="1453">
        <f>IF(G29=0,0,G30/G29)</f>
        <v>0</v>
      </c>
      <c r="I30" s="1454"/>
    </row>
    <row r="31" spans="1:9" ht="15">
      <c r="A31" s="1444"/>
      <c r="B31" s="385" t="s">
        <v>1742</v>
      </c>
      <c r="C31" s="389" t="s">
        <v>236</v>
      </c>
      <c r="D31" s="376">
        <v>886.3419999999999</v>
      </c>
      <c r="E31" s="1453">
        <f>IF(D23=0,0,D31/D23)</f>
        <v>0.5833027864665425</v>
      </c>
      <c r="F31" s="1454"/>
      <c r="G31" s="376">
        <v>886.3419999999999</v>
      </c>
      <c r="H31" s="1453">
        <f>IF(G23=0,0,G31/G23)</f>
        <v>0.5833027864665425</v>
      </c>
      <c r="I31" s="1454"/>
    </row>
    <row r="32" spans="1:9" ht="15">
      <c r="A32" s="1444"/>
      <c r="B32" s="387" t="s">
        <v>246</v>
      </c>
      <c r="C32" s="389" t="s">
        <v>236</v>
      </c>
      <c r="D32" s="376">
        <v>601.421</v>
      </c>
      <c r="E32" s="1453">
        <f>IF(D31=0,0,D32/D31)</f>
        <v>0.6785428198144736</v>
      </c>
      <c r="F32" s="1454"/>
      <c r="G32" s="376">
        <f>601.421</f>
        <v>601.421</v>
      </c>
      <c r="H32" s="1453">
        <f>IF(G31=0,0,G32/G31)</f>
        <v>0.6785428198144736</v>
      </c>
      <c r="I32" s="1454"/>
    </row>
    <row r="33" spans="1:9" ht="15">
      <c r="A33" s="1444"/>
      <c r="B33" s="385" t="s">
        <v>1743</v>
      </c>
      <c r="C33" s="389" t="s">
        <v>236</v>
      </c>
      <c r="D33" s="376">
        <v>5.482</v>
      </c>
      <c r="E33" s="1453">
        <f>IF(D23=0,0,D33/D23)</f>
        <v>0.0036077111040767407</v>
      </c>
      <c r="F33" s="1454"/>
      <c r="G33" s="376">
        <v>5.482</v>
      </c>
      <c r="H33" s="1453">
        <f>IF(G23=0,0,G33/G23)</f>
        <v>0.0036077111040767407</v>
      </c>
      <c r="I33" s="1454"/>
    </row>
    <row r="34" spans="1:9" ht="15">
      <c r="A34" s="1444"/>
      <c r="B34" s="387" t="s">
        <v>246</v>
      </c>
      <c r="C34" s="389" t="s">
        <v>236</v>
      </c>
      <c r="D34" s="376">
        <v>0</v>
      </c>
      <c r="E34" s="1453">
        <f>IF(D33=0,0,D34/D33)</f>
        <v>0</v>
      </c>
      <c r="F34" s="1454"/>
      <c r="G34" s="376">
        <v>0</v>
      </c>
      <c r="H34" s="1453">
        <f>IF(G33=0,0,G34/G33)</f>
        <v>0</v>
      </c>
      <c r="I34" s="1454"/>
    </row>
    <row r="35" spans="1:9" ht="15">
      <c r="A35" s="1444"/>
      <c r="B35" s="385" t="s">
        <v>247</v>
      </c>
      <c r="C35" s="389" t="s">
        <v>236</v>
      </c>
      <c r="D35" s="376">
        <v>627.699</v>
      </c>
      <c r="E35" s="1453">
        <f>IF(D23=0,0,D35/D23)</f>
        <v>0.41308950242938086</v>
      </c>
      <c r="F35" s="1454"/>
      <c r="G35" s="376">
        <v>627.699</v>
      </c>
      <c r="H35" s="1453">
        <f>IF(G23=0,0,G35/G23)</f>
        <v>0.41308950242938086</v>
      </c>
      <c r="I35" s="1454"/>
    </row>
    <row r="36" spans="1:9" ht="15">
      <c r="A36" s="1444"/>
      <c r="B36" s="387" t="s">
        <v>246</v>
      </c>
      <c r="C36" s="389" t="s">
        <v>236</v>
      </c>
      <c r="D36" s="376">
        <v>401.09000000000003</v>
      </c>
      <c r="E36" s="1453">
        <f>IF(D35=0,0,D36/D35)</f>
        <v>0.6389846088650771</v>
      </c>
      <c r="F36" s="1454"/>
      <c r="G36" s="376">
        <f>D36-1.264</f>
        <v>399.826</v>
      </c>
      <c r="H36" s="1453">
        <f>IF(G35=0,0,G36/G35)</f>
        <v>0.6369709048445195</v>
      </c>
      <c r="I36" s="1454"/>
    </row>
    <row r="37" spans="1:9" ht="78.75" customHeight="1">
      <c r="A37" s="1458">
        <v>3</v>
      </c>
      <c r="B37" s="385" t="s">
        <v>248</v>
      </c>
      <c r="C37" s="1445" t="s">
        <v>249</v>
      </c>
      <c r="D37" s="1461">
        <f>SUM(D39:D42)</f>
        <v>164</v>
      </c>
      <c r="E37" s="1463">
        <f>SUM(E39:F42)</f>
        <v>1547.6999999999998</v>
      </c>
      <c r="F37" s="1463"/>
      <c r="G37" s="1461">
        <f>SUM(G39:G42)</f>
        <v>164</v>
      </c>
      <c r="H37" s="1463">
        <f>SUM(H39:I42)</f>
        <v>1548.4</v>
      </c>
      <c r="I37" s="1463"/>
    </row>
    <row r="38" spans="1:9" ht="14.25" customHeight="1">
      <c r="A38" s="1459"/>
      <c r="B38" s="387" t="s">
        <v>1744</v>
      </c>
      <c r="C38" s="1446"/>
      <c r="D38" s="1462"/>
      <c r="E38" s="1464"/>
      <c r="F38" s="1464"/>
      <c r="G38" s="1462"/>
      <c r="H38" s="1464"/>
      <c r="I38" s="1464"/>
    </row>
    <row r="39" spans="1:9" ht="14.25" customHeight="1">
      <c r="A39" s="1459"/>
      <c r="B39" s="385" t="s">
        <v>250</v>
      </c>
      <c r="C39" s="393" t="s">
        <v>249</v>
      </c>
      <c r="D39" s="390">
        <v>0</v>
      </c>
      <c r="E39" s="1455">
        <v>0</v>
      </c>
      <c r="F39" s="1457"/>
      <c r="G39" s="390">
        <v>0</v>
      </c>
      <c r="H39" s="1455">
        <v>0</v>
      </c>
      <c r="I39" s="1457"/>
    </row>
    <row r="40" spans="1:9" ht="14.25" customHeight="1">
      <c r="A40" s="1459"/>
      <c r="B40" s="385" t="s">
        <v>251</v>
      </c>
      <c r="C40" s="393" t="s">
        <v>249</v>
      </c>
      <c r="D40" s="390">
        <v>0</v>
      </c>
      <c r="E40" s="1455">
        <v>0</v>
      </c>
      <c r="F40" s="1457"/>
      <c r="G40" s="390">
        <v>0</v>
      </c>
      <c r="H40" s="1455">
        <v>0</v>
      </c>
      <c r="I40" s="1457"/>
    </row>
    <row r="41" spans="1:9" ht="14.25" customHeight="1">
      <c r="A41" s="1459"/>
      <c r="B41" s="385" t="s">
        <v>2103</v>
      </c>
      <c r="C41" s="393" t="s">
        <v>249</v>
      </c>
      <c r="D41" s="390">
        <v>37</v>
      </c>
      <c r="E41" s="1455">
        <v>983.4</v>
      </c>
      <c r="F41" s="1457"/>
      <c r="G41" s="390">
        <v>37</v>
      </c>
      <c r="H41" s="1455">
        <v>983.4</v>
      </c>
      <c r="I41" s="1457"/>
    </row>
    <row r="42" spans="1:9" ht="15">
      <c r="A42" s="1460"/>
      <c r="B42" s="385" t="s">
        <v>1733</v>
      </c>
      <c r="C42" s="393" t="s">
        <v>249</v>
      </c>
      <c r="D42" s="390">
        <v>127</v>
      </c>
      <c r="E42" s="1455">
        <v>564.3</v>
      </c>
      <c r="F42" s="1457"/>
      <c r="G42" s="390">
        <v>127</v>
      </c>
      <c r="H42" s="1465">
        <f>E42+0.7</f>
        <v>565</v>
      </c>
      <c r="I42" s="1466"/>
    </row>
    <row r="43" spans="1:9" ht="48" customHeight="1">
      <c r="A43" s="1458">
        <v>4</v>
      </c>
      <c r="B43" s="385" t="s">
        <v>252</v>
      </c>
      <c r="C43" s="386" t="s">
        <v>1732</v>
      </c>
      <c r="D43" s="1467">
        <v>164</v>
      </c>
      <c r="E43" s="1468"/>
      <c r="F43" s="1469"/>
      <c r="G43" s="1467">
        <v>164</v>
      </c>
      <c r="H43" s="1468"/>
      <c r="I43" s="1469"/>
    </row>
    <row r="44" spans="1:9" ht="15" customHeight="1">
      <c r="A44" s="1459"/>
      <c r="B44" s="387" t="s">
        <v>253</v>
      </c>
      <c r="C44" s="389" t="s">
        <v>254</v>
      </c>
      <c r="D44" s="390">
        <v>100</v>
      </c>
      <c r="E44" s="1453">
        <f>IF(D43=0,0,D44/D43)</f>
        <v>0.6097560975609756</v>
      </c>
      <c r="F44" s="1454"/>
      <c r="G44" s="390">
        <v>100</v>
      </c>
      <c r="H44" s="1453">
        <f>IF(G43=0,0,G44/G43)</f>
        <v>0.6097560975609756</v>
      </c>
      <c r="I44" s="1454"/>
    </row>
    <row r="45" spans="1:9" ht="15" customHeight="1">
      <c r="A45" s="1459"/>
      <c r="B45" s="387" t="s">
        <v>255</v>
      </c>
      <c r="C45" s="389" t="s">
        <v>1732</v>
      </c>
      <c r="D45" s="1470">
        <v>121</v>
      </c>
      <c r="E45" s="1471"/>
      <c r="F45" s="1472"/>
      <c r="G45" s="1470">
        <v>121</v>
      </c>
      <c r="H45" s="1471"/>
      <c r="I45" s="1472"/>
    </row>
    <row r="46" spans="1:9" ht="17.25" customHeight="1">
      <c r="A46" s="1459"/>
      <c r="B46" s="387" t="s">
        <v>256</v>
      </c>
      <c r="C46" s="389" t="s">
        <v>254</v>
      </c>
      <c r="D46" s="390">
        <v>103</v>
      </c>
      <c r="E46" s="1453">
        <f>IF(D43=0,0,D46/D43)</f>
        <v>0.6280487804878049</v>
      </c>
      <c r="F46" s="1454"/>
      <c r="G46" s="390">
        <v>108</v>
      </c>
      <c r="H46" s="1453">
        <f>IF(G43=0,0,G46/G43)</f>
        <v>0.6585365853658537</v>
      </c>
      <c r="I46" s="1454"/>
    </row>
    <row r="47" spans="1:9" ht="27.75" customHeight="1">
      <c r="A47" s="1459"/>
      <c r="B47" s="387" t="s">
        <v>257</v>
      </c>
      <c r="C47" s="389" t="s">
        <v>1732</v>
      </c>
      <c r="D47" s="1470">
        <v>0</v>
      </c>
      <c r="E47" s="1471"/>
      <c r="F47" s="1472"/>
      <c r="G47" s="1470">
        <v>0</v>
      </c>
      <c r="H47" s="1471"/>
      <c r="I47" s="1472"/>
    </row>
    <row r="48" spans="1:9" ht="30">
      <c r="A48" s="1460"/>
      <c r="B48" s="387" t="s">
        <v>258</v>
      </c>
      <c r="C48" s="389" t="s">
        <v>1732</v>
      </c>
      <c r="D48" s="1470">
        <v>6</v>
      </c>
      <c r="E48" s="1471"/>
      <c r="F48" s="1472"/>
      <c r="G48" s="1470">
        <v>6</v>
      </c>
      <c r="H48" s="1471"/>
      <c r="I48" s="1472"/>
    </row>
    <row r="49" spans="1:9" ht="155.25" customHeight="1">
      <c r="A49" s="1458">
        <v>5</v>
      </c>
      <c r="B49" s="385" t="s">
        <v>259</v>
      </c>
      <c r="C49" s="389" t="s">
        <v>249</v>
      </c>
      <c r="D49" s="394">
        <f>SUM(D52,D54,D56,D58)</f>
        <v>9333</v>
      </c>
      <c r="E49" s="1473">
        <f>SUM(F52,F54,F56,F58)</f>
        <v>3048.24</v>
      </c>
      <c r="F49" s="1474"/>
      <c r="G49" s="394">
        <f>SUM(G52,G54,G56,G58)</f>
        <v>9333</v>
      </c>
      <c r="H49" s="1473">
        <f>SUM(I52,I54,I56,I58)</f>
        <v>3048.94</v>
      </c>
      <c r="I49" s="1474"/>
    </row>
    <row r="50" spans="1:9" ht="30">
      <c r="A50" s="1459"/>
      <c r="B50" s="387" t="s">
        <v>260</v>
      </c>
      <c r="C50" s="1445" t="s">
        <v>261</v>
      </c>
      <c r="D50" s="1461">
        <f>D53+D55+D57+D59</f>
        <v>6791</v>
      </c>
      <c r="E50" s="1475">
        <f>IF(D49=0,0,D50/D49)</f>
        <v>0.7276331297546341</v>
      </c>
      <c r="F50" s="1463">
        <f>F53+F55+F57+F59</f>
        <v>1999.38</v>
      </c>
      <c r="G50" s="1461">
        <f>G53+G55+G57+G59</f>
        <v>6787</v>
      </c>
      <c r="H50" s="1475">
        <f>IF(G49=0,0,G50/G49)</f>
        <v>0.7272045430193935</v>
      </c>
      <c r="I50" s="1463">
        <f>I53+I55+I57+I59</f>
        <v>1961.29</v>
      </c>
    </row>
    <row r="51" spans="1:9" ht="15">
      <c r="A51" s="1459"/>
      <c r="B51" s="387" t="s">
        <v>1744</v>
      </c>
      <c r="C51" s="1446"/>
      <c r="D51" s="1462"/>
      <c r="E51" s="1476"/>
      <c r="F51" s="1464"/>
      <c r="G51" s="1462"/>
      <c r="H51" s="1476"/>
      <c r="I51" s="1464"/>
    </row>
    <row r="52" spans="1:9" ht="15">
      <c r="A52" s="1459"/>
      <c r="B52" s="385" t="s">
        <v>2125</v>
      </c>
      <c r="C52" s="396" t="s">
        <v>261</v>
      </c>
      <c r="D52" s="391">
        <v>0</v>
      </c>
      <c r="E52" s="395">
        <f>IF(D49=0,0,D52/D49)</f>
        <v>0</v>
      </c>
      <c r="F52" s="392">
        <v>0</v>
      </c>
      <c r="G52" s="391">
        <v>0</v>
      </c>
      <c r="H52" s="395">
        <f>IF(G49=0,0,G52/G49)</f>
        <v>0</v>
      </c>
      <c r="I52" s="392">
        <v>0</v>
      </c>
    </row>
    <row r="53" spans="1:9" ht="15">
      <c r="A53" s="1459"/>
      <c r="B53" s="387" t="s">
        <v>262</v>
      </c>
      <c r="C53" s="396" t="s">
        <v>261</v>
      </c>
      <c r="D53" s="391">
        <v>0</v>
      </c>
      <c r="E53" s="395">
        <f>IF(D52=0,0,D53/D52)</f>
        <v>0</v>
      </c>
      <c r="F53" s="392">
        <v>0</v>
      </c>
      <c r="G53" s="391">
        <v>0</v>
      </c>
      <c r="H53" s="395">
        <f>IF(G52=0,0,G53/G52)</f>
        <v>0</v>
      </c>
      <c r="I53" s="392">
        <v>0</v>
      </c>
    </row>
    <row r="54" spans="1:9" ht="15">
      <c r="A54" s="1459"/>
      <c r="B54" s="385" t="s">
        <v>263</v>
      </c>
      <c r="C54" s="396" t="s">
        <v>261</v>
      </c>
      <c r="D54" s="390">
        <v>63</v>
      </c>
      <c r="E54" s="397">
        <f>IF(D49=0,0,D54/D49)</f>
        <v>0.006750241080038573</v>
      </c>
      <c r="F54" s="376">
        <v>980.9</v>
      </c>
      <c r="G54" s="390">
        <v>63</v>
      </c>
      <c r="H54" s="397">
        <f>IF(G49=0,0,G54/G49)</f>
        <v>0.006750241080038573</v>
      </c>
      <c r="I54" s="376">
        <v>980.9</v>
      </c>
    </row>
    <row r="55" spans="1:9" ht="30">
      <c r="A55" s="1459"/>
      <c r="B55" s="387" t="s">
        <v>260</v>
      </c>
      <c r="C55" s="396" t="s">
        <v>261</v>
      </c>
      <c r="D55" s="390">
        <v>34</v>
      </c>
      <c r="E55" s="397">
        <f>IF(D54=0,0,D55/D54)</f>
        <v>0.5396825396825397</v>
      </c>
      <c r="F55" s="376">
        <v>512.8</v>
      </c>
      <c r="G55" s="390">
        <v>32</v>
      </c>
      <c r="H55" s="397">
        <f>IF(G54=0,0,G55/G54)</f>
        <v>0.5079365079365079</v>
      </c>
      <c r="I55" s="376">
        <v>490.5</v>
      </c>
    </row>
    <row r="56" spans="1:9" ht="15">
      <c r="A56" s="1459"/>
      <c r="B56" s="385" t="s">
        <v>1741</v>
      </c>
      <c r="C56" s="396" t="s">
        <v>261</v>
      </c>
      <c r="D56" s="390">
        <v>201</v>
      </c>
      <c r="E56" s="397">
        <f>IF(D49=0,0,D56/D49)</f>
        <v>0.021536483445837352</v>
      </c>
      <c r="F56" s="376">
        <v>566.8</v>
      </c>
      <c r="G56" s="390">
        <v>201</v>
      </c>
      <c r="H56" s="397">
        <f>IF(G49=0,0,G56/G49)</f>
        <v>0.021536483445837352</v>
      </c>
      <c r="I56" s="376">
        <f>F56+0.7</f>
        <v>567.5</v>
      </c>
    </row>
    <row r="57" spans="1:9" ht="30">
      <c r="A57" s="1459"/>
      <c r="B57" s="387" t="s">
        <v>260</v>
      </c>
      <c r="C57" s="396" t="s">
        <v>261</v>
      </c>
      <c r="D57" s="390">
        <v>167</v>
      </c>
      <c r="E57" s="397">
        <f>IF(D56=0,0,D57/D56)</f>
        <v>0.8308457711442786</v>
      </c>
      <c r="F57" s="376">
        <v>409.9</v>
      </c>
      <c r="G57" s="390">
        <v>165</v>
      </c>
      <c r="H57" s="397">
        <f>IF(G56=0,0,G57/G56)</f>
        <v>0.8208955223880597</v>
      </c>
      <c r="I57" s="376">
        <f>393.91-1.8</f>
        <v>392.11</v>
      </c>
    </row>
    <row r="58" spans="1:10" ht="15">
      <c r="A58" s="1459"/>
      <c r="B58" s="385" t="s">
        <v>264</v>
      </c>
      <c r="C58" s="396" t="s">
        <v>261</v>
      </c>
      <c r="D58" s="390">
        <v>9069</v>
      </c>
      <c r="E58" s="397">
        <f>IF(D49=0,0,D58/D49)</f>
        <v>0.9717132754741241</v>
      </c>
      <c r="F58" s="376">
        <v>1500.54</v>
      </c>
      <c r="G58" s="390">
        <v>9069</v>
      </c>
      <c r="H58" s="397">
        <f>IF(G49=0,0,G58/G49)</f>
        <v>0.9717132754741241</v>
      </c>
      <c r="I58" s="376">
        <v>1500.54</v>
      </c>
      <c r="J58" s="112"/>
    </row>
    <row r="59" spans="1:10" ht="15">
      <c r="A59" s="1459"/>
      <c r="B59" s="387" t="s">
        <v>262</v>
      </c>
      <c r="C59" s="396" t="s">
        <v>261</v>
      </c>
      <c r="D59" s="390">
        <v>6590</v>
      </c>
      <c r="E59" s="397">
        <f>IF(D58=0,0,D59/D58)</f>
        <v>0.7266512294630059</v>
      </c>
      <c r="F59" s="376">
        <v>1076.68</v>
      </c>
      <c r="G59" s="390">
        <v>6590</v>
      </c>
      <c r="H59" s="397">
        <f>IF(G58=0,0,G59/G58)</f>
        <v>0.7266512294630059</v>
      </c>
      <c r="I59" s="376">
        <v>1078.68</v>
      </c>
      <c r="J59" s="112"/>
    </row>
    <row r="60" spans="1:9" ht="64.5" customHeight="1">
      <c r="A60" s="1458">
        <v>6</v>
      </c>
      <c r="B60" s="385" t="s">
        <v>265</v>
      </c>
      <c r="C60" s="389" t="s">
        <v>1732</v>
      </c>
      <c r="D60" s="1477">
        <f>SUM(D63,D65,D67,D69)</f>
        <v>118</v>
      </c>
      <c r="E60" s="1478"/>
      <c r="F60" s="1479"/>
      <c r="G60" s="1477">
        <f>SUM(G63,G65,G67,G69)</f>
        <v>116</v>
      </c>
      <c r="H60" s="1478"/>
      <c r="I60" s="1479"/>
    </row>
    <row r="61" spans="1:9" ht="15">
      <c r="A61" s="1459"/>
      <c r="B61" s="387" t="s">
        <v>266</v>
      </c>
      <c r="C61" s="1445" t="s">
        <v>254</v>
      </c>
      <c r="D61" s="1461">
        <f>SUM(D64,D66,D68,D70)</f>
        <v>6</v>
      </c>
      <c r="E61" s="1475">
        <f>IF(D60=0,0,D61/D60)</f>
        <v>0.05084745762711865</v>
      </c>
      <c r="F61" s="1475"/>
      <c r="G61" s="1461">
        <f>SUM(G64,G66,G68,G70)</f>
        <v>4</v>
      </c>
      <c r="H61" s="1475">
        <f>IF(G60=0,0,G61/G60)</f>
        <v>0.034482758620689655</v>
      </c>
      <c r="I61" s="1475"/>
    </row>
    <row r="62" spans="1:9" ht="15">
      <c r="A62" s="1459"/>
      <c r="B62" s="387" t="s">
        <v>1744</v>
      </c>
      <c r="C62" s="1446"/>
      <c r="D62" s="1462"/>
      <c r="E62" s="1476"/>
      <c r="F62" s="1476"/>
      <c r="G62" s="1462"/>
      <c r="H62" s="1476"/>
      <c r="I62" s="1476"/>
    </row>
    <row r="63" spans="1:9" ht="15">
      <c r="A63" s="1459"/>
      <c r="B63" s="385" t="s">
        <v>2125</v>
      </c>
      <c r="C63" s="389" t="s">
        <v>1732</v>
      </c>
      <c r="D63" s="1480">
        <v>0</v>
      </c>
      <c r="E63" s="1481"/>
      <c r="F63" s="1482"/>
      <c r="G63" s="1480">
        <v>0</v>
      </c>
      <c r="H63" s="1481"/>
      <c r="I63" s="1482"/>
    </row>
    <row r="64" spans="1:9" ht="15">
      <c r="A64" s="1459"/>
      <c r="B64" s="387" t="s">
        <v>266</v>
      </c>
      <c r="C64" s="389" t="s">
        <v>1732</v>
      </c>
      <c r="D64" s="1480">
        <v>0</v>
      </c>
      <c r="E64" s="1481"/>
      <c r="F64" s="1482"/>
      <c r="G64" s="1480">
        <v>0</v>
      </c>
      <c r="H64" s="1481"/>
      <c r="I64" s="1482"/>
    </row>
    <row r="65" spans="1:9" ht="15">
      <c r="A65" s="1459"/>
      <c r="B65" s="385" t="s">
        <v>1739</v>
      </c>
      <c r="C65" s="389" t="s">
        <v>1732</v>
      </c>
      <c r="D65" s="1483">
        <v>0</v>
      </c>
      <c r="E65" s="1484"/>
      <c r="F65" s="1485"/>
      <c r="G65" s="1483">
        <v>0</v>
      </c>
      <c r="H65" s="1484"/>
      <c r="I65" s="1485"/>
    </row>
    <row r="66" spans="1:9" ht="15">
      <c r="A66" s="1459"/>
      <c r="B66" s="387" t="s">
        <v>266</v>
      </c>
      <c r="C66" s="389" t="s">
        <v>1732</v>
      </c>
      <c r="D66" s="1483">
        <v>0</v>
      </c>
      <c r="E66" s="1484"/>
      <c r="F66" s="1485"/>
      <c r="G66" s="1483">
        <v>0</v>
      </c>
      <c r="H66" s="1484"/>
      <c r="I66" s="1485"/>
    </row>
    <row r="67" spans="1:9" ht="15">
      <c r="A67" s="1459"/>
      <c r="B67" s="385" t="s">
        <v>1740</v>
      </c>
      <c r="C67" s="389" t="s">
        <v>1732</v>
      </c>
      <c r="D67" s="1470">
        <v>56</v>
      </c>
      <c r="E67" s="1471"/>
      <c r="F67" s="1472"/>
      <c r="G67" s="1470">
        <v>54</v>
      </c>
      <c r="H67" s="1471"/>
      <c r="I67" s="1472"/>
    </row>
    <row r="68" spans="1:9" ht="15">
      <c r="A68" s="1459"/>
      <c r="B68" s="387" t="s">
        <v>266</v>
      </c>
      <c r="C68" s="389" t="s">
        <v>1732</v>
      </c>
      <c r="D68" s="1470">
        <v>4</v>
      </c>
      <c r="E68" s="1471"/>
      <c r="F68" s="1472"/>
      <c r="G68" s="1470">
        <v>2</v>
      </c>
      <c r="H68" s="1471"/>
      <c r="I68" s="1472"/>
    </row>
    <row r="69" spans="1:9" ht="15">
      <c r="A69" s="1459"/>
      <c r="B69" s="385" t="s">
        <v>1741</v>
      </c>
      <c r="C69" s="389" t="s">
        <v>1732</v>
      </c>
      <c r="D69" s="1470">
        <v>62</v>
      </c>
      <c r="E69" s="1471"/>
      <c r="F69" s="1472"/>
      <c r="G69" s="1470">
        <v>62</v>
      </c>
      <c r="H69" s="1471"/>
      <c r="I69" s="1472"/>
    </row>
    <row r="70" spans="1:9" ht="15">
      <c r="A70" s="1459"/>
      <c r="B70" s="387" t="s">
        <v>266</v>
      </c>
      <c r="C70" s="389" t="s">
        <v>1732</v>
      </c>
      <c r="D70" s="1470">
        <v>2</v>
      </c>
      <c r="E70" s="1471"/>
      <c r="F70" s="1472"/>
      <c r="G70" s="1470">
        <v>2</v>
      </c>
      <c r="H70" s="1471"/>
      <c r="I70" s="1472"/>
    </row>
    <row r="71" spans="1:9" ht="63" customHeight="1">
      <c r="A71" s="1458">
        <v>7</v>
      </c>
      <c r="B71" s="385" t="s">
        <v>267</v>
      </c>
      <c r="C71" s="389" t="s">
        <v>1732</v>
      </c>
      <c r="D71" s="1477">
        <f>SUM(D74,D76,D78,D80)</f>
        <v>120</v>
      </c>
      <c r="E71" s="1478"/>
      <c r="F71" s="1479"/>
      <c r="G71" s="1477">
        <f>SUM(G74,G76,G78,G80)</f>
        <v>120</v>
      </c>
      <c r="H71" s="1478"/>
      <c r="I71" s="1479"/>
    </row>
    <row r="72" spans="1:9" ht="14.25" customHeight="1">
      <c r="A72" s="1459"/>
      <c r="B72" s="387" t="s">
        <v>266</v>
      </c>
      <c r="C72" s="1445" t="s">
        <v>254</v>
      </c>
      <c r="D72" s="1461">
        <f>SUM(D75,D77,D79,D81)</f>
        <v>8</v>
      </c>
      <c r="E72" s="1475">
        <f>IF(D71=0,0,D72/D71)</f>
        <v>0.06666666666666667</v>
      </c>
      <c r="F72" s="1475"/>
      <c r="G72" s="1461">
        <v>8</v>
      </c>
      <c r="H72" s="1475">
        <f>IF(G71=0,0,G72/G71)</f>
        <v>0.06666666666666667</v>
      </c>
      <c r="I72" s="1475"/>
    </row>
    <row r="73" spans="1:9" ht="15">
      <c r="A73" s="1459"/>
      <c r="B73" s="387" t="s">
        <v>1744</v>
      </c>
      <c r="C73" s="1446"/>
      <c r="D73" s="1462"/>
      <c r="E73" s="1476"/>
      <c r="F73" s="1476"/>
      <c r="G73" s="1462"/>
      <c r="H73" s="1476"/>
      <c r="I73" s="1476"/>
    </row>
    <row r="74" spans="1:9" ht="15">
      <c r="A74" s="1459"/>
      <c r="B74" s="385" t="s">
        <v>2125</v>
      </c>
      <c r="C74" s="389" t="s">
        <v>1732</v>
      </c>
      <c r="D74" s="1477">
        <v>0</v>
      </c>
      <c r="E74" s="1478"/>
      <c r="F74" s="1479"/>
      <c r="G74" s="1477">
        <v>0</v>
      </c>
      <c r="H74" s="1478"/>
      <c r="I74" s="1479"/>
    </row>
    <row r="75" spans="1:9" ht="15">
      <c r="A75" s="1459"/>
      <c r="B75" s="387" t="s">
        <v>266</v>
      </c>
      <c r="C75" s="389" t="s">
        <v>1732</v>
      </c>
      <c r="D75" s="1477">
        <v>0</v>
      </c>
      <c r="E75" s="1478"/>
      <c r="F75" s="1479"/>
      <c r="G75" s="1477">
        <v>0</v>
      </c>
      <c r="H75" s="1478"/>
      <c r="I75" s="1479"/>
    </row>
    <row r="76" spans="1:9" ht="15">
      <c r="A76" s="1459"/>
      <c r="B76" s="385" t="s">
        <v>1739</v>
      </c>
      <c r="C76" s="389" t="s">
        <v>1732</v>
      </c>
      <c r="D76" s="1470">
        <v>0</v>
      </c>
      <c r="E76" s="1471"/>
      <c r="F76" s="1472"/>
      <c r="G76" s="1470">
        <v>0</v>
      </c>
      <c r="H76" s="1471"/>
      <c r="I76" s="1472"/>
    </row>
    <row r="77" spans="1:9" ht="15">
      <c r="A77" s="1459"/>
      <c r="B77" s="387" t="s">
        <v>266</v>
      </c>
      <c r="C77" s="389" t="s">
        <v>1732</v>
      </c>
      <c r="D77" s="1470">
        <v>0</v>
      </c>
      <c r="E77" s="1471"/>
      <c r="F77" s="1472"/>
      <c r="G77" s="1470">
        <v>0</v>
      </c>
      <c r="H77" s="1471"/>
      <c r="I77" s="1472"/>
    </row>
    <row r="78" spans="1:9" ht="15">
      <c r="A78" s="1459"/>
      <c r="B78" s="385" t="s">
        <v>1740</v>
      </c>
      <c r="C78" s="389" t="s">
        <v>1732</v>
      </c>
      <c r="D78" s="1470">
        <v>58</v>
      </c>
      <c r="E78" s="1471"/>
      <c r="F78" s="1472"/>
      <c r="G78" s="1470">
        <v>58</v>
      </c>
      <c r="H78" s="1471"/>
      <c r="I78" s="1472"/>
    </row>
    <row r="79" spans="1:9" ht="15">
      <c r="A79" s="1459"/>
      <c r="B79" s="387" t="s">
        <v>266</v>
      </c>
      <c r="C79" s="389" t="s">
        <v>1732</v>
      </c>
      <c r="D79" s="1470">
        <v>4</v>
      </c>
      <c r="E79" s="1471"/>
      <c r="F79" s="1472"/>
      <c r="G79" s="1470">
        <v>2</v>
      </c>
      <c r="H79" s="1471"/>
      <c r="I79" s="1472"/>
    </row>
    <row r="80" spans="1:9" ht="15">
      <c r="A80" s="1459"/>
      <c r="B80" s="385" t="s">
        <v>1741</v>
      </c>
      <c r="C80" s="389" t="s">
        <v>1732</v>
      </c>
      <c r="D80" s="1470">
        <v>62</v>
      </c>
      <c r="E80" s="1471"/>
      <c r="F80" s="1472"/>
      <c r="G80" s="1470">
        <v>62</v>
      </c>
      <c r="H80" s="1471"/>
      <c r="I80" s="1472"/>
    </row>
    <row r="81" spans="1:9" ht="15">
      <c r="A81" s="1459"/>
      <c r="B81" s="387" t="s">
        <v>266</v>
      </c>
      <c r="C81" s="389" t="s">
        <v>1732</v>
      </c>
      <c r="D81" s="1470">
        <v>4</v>
      </c>
      <c r="E81" s="1471"/>
      <c r="F81" s="1472"/>
      <c r="G81" s="1470">
        <v>4</v>
      </c>
      <c r="H81" s="1471"/>
      <c r="I81" s="1472"/>
    </row>
    <row r="82" spans="1:9" ht="58.5" customHeight="1">
      <c r="A82" s="1458">
        <v>8</v>
      </c>
      <c r="B82" s="385" t="s">
        <v>268</v>
      </c>
      <c r="C82" s="389" t="s">
        <v>1732</v>
      </c>
      <c r="D82" s="1477">
        <f>SUM(D85,D87,D89,D91)</f>
        <v>1277</v>
      </c>
      <c r="E82" s="1478"/>
      <c r="F82" s="1479"/>
      <c r="G82" s="1477">
        <f>SUM(G85,G87,G89,G91)</f>
        <v>1277</v>
      </c>
      <c r="H82" s="1478"/>
      <c r="I82" s="1479"/>
    </row>
    <row r="83" spans="1:9" ht="15" customHeight="1">
      <c r="A83" s="1459"/>
      <c r="B83" s="387" t="s">
        <v>266</v>
      </c>
      <c r="C83" s="1445" t="s">
        <v>254</v>
      </c>
      <c r="D83" s="1461">
        <f>SUM(D86,D88,D90,D92)</f>
        <v>25</v>
      </c>
      <c r="E83" s="1475">
        <f>IF(D82=0,0,D83/D82)</f>
        <v>0.01957713390759593</v>
      </c>
      <c r="F83" s="1475"/>
      <c r="G83" s="1461">
        <f>SUM(G86,G88,G90,G92)</f>
        <v>23</v>
      </c>
      <c r="H83" s="1475">
        <f>IF(G82=0,0,G83/G82)</f>
        <v>0.018010963194988253</v>
      </c>
      <c r="I83" s="1475"/>
    </row>
    <row r="84" spans="1:9" ht="15">
      <c r="A84" s="1459"/>
      <c r="B84" s="387" t="s">
        <v>1744</v>
      </c>
      <c r="C84" s="1446"/>
      <c r="D84" s="1462"/>
      <c r="E84" s="1476"/>
      <c r="F84" s="1476"/>
      <c r="G84" s="1462"/>
      <c r="H84" s="1476"/>
      <c r="I84" s="1476"/>
    </row>
    <row r="85" spans="1:9" ht="15">
      <c r="A85" s="1459"/>
      <c r="B85" s="385" t="s">
        <v>2125</v>
      </c>
      <c r="C85" s="389" t="s">
        <v>1732</v>
      </c>
      <c r="D85" s="1477">
        <v>0</v>
      </c>
      <c r="E85" s="1478"/>
      <c r="F85" s="1479"/>
      <c r="G85" s="1477">
        <v>0</v>
      </c>
      <c r="H85" s="1478"/>
      <c r="I85" s="1479"/>
    </row>
    <row r="86" spans="1:9" ht="15">
      <c r="A86" s="1459"/>
      <c r="B86" s="387" t="s">
        <v>266</v>
      </c>
      <c r="C86" s="389" t="s">
        <v>1732</v>
      </c>
      <c r="D86" s="1477">
        <v>0</v>
      </c>
      <c r="E86" s="1478"/>
      <c r="F86" s="1479"/>
      <c r="G86" s="1477">
        <v>0</v>
      </c>
      <c r="H86" s="1478"/>
      <c r="I86" s="1479"/>
    </row>
    <row r="87" spans="1:9" ht="15">
      <c r="A87" s="1459"/>
      <c r="B87" s="385" t="s">
        <v>1739</v>
      </c>
      <c r="C87" s="389" t="s">
        <v>1732</v>
      </c>
      <c r="D87" s="1470">
        <v>0</v>
      </c>
      <c r="E87" s="1471"/>
      <c r="F87" s="1472"/>
      <c r="G87" s="1470">
        <v>0</v>
      </c>
      <c r="H87" s="1471"/>
      <c r="I87" s="1472"/>
    </row>
    <row r="88" spans="1:9" ht="15">
      <c r="A88" s="1459"/>
      <c r="B88" s="387" t="s">
        <v>266</v>
      </c>
      <c r="C88" s="389" t="s">
        <v>1732</v>
      </c>
      <c r="D88" s="1470">
        <v>0</v>
      </c>
      <c r="E88" s="1471"/>
      <c r="F88" s="1472"/>
      <c r="G88" s="1470">
        <v>0</v>
      </c>
      <c r="H88" s="1471"/>
      <c r="I88" s="1472"/>
    </row>
    <row r="89" spans="1:9" ht="15">
      <c r="A89" s="1459"/>
      <c r="B89" s="385" t="s">
        <v>1740</v>
      </c>
      <c r="C89" s="389" t="s">
        <v>1732</v>
      </c>
      <c r="D89" s="1470">
        <v>286</v>
      </c>
      <c r="E89" s="1471"/>
      <c r="F89" s="1472"/>
      <c r="G89" s="1470">
        <v>286</v>
      </c>
      <c r="H89" s="1471"/>
      <c r="I89" s="1472"/>
    </row>
    <row r="90" spans="1:9" ht="15">
      <c r="A90" s="1459"/>
      <c r="B90" s="387" t="s">
        <v>266</v>
      </c>
      <c r="C90" s="389" t="s">
        <v>1732</v>
      </c>
      <c r="D90" s="1470">
        <v>7</v>
      </c>
      <c r="E90" s="1471"/>
      <c r="F90" s="1472"/>
      <c r="G90" s="1470">
        <v>7</v>
      </c>
      <c r="H90" s="1471"/>
      <c r="I90" s="1472"/>
    </row>
    <row r="91" spans="1:9" ht="15">
      <c r="A91" s="1459"/>
      <c r="B91" s="385" t="s">
        <v>1741</v>
      </c>
      <c r="C91" s="389" t="s">
        <v>1732</v>
      </c>
      <c r="D91" s="1470">
        <v>991</v>
      </c>
      <c r="E91" s="1471"/>
      <c r="F91" s="1472"/>
      <c r="G91" s="1470">
        <v>991</v>
      </c>
      <c r="H91" s="1471"/>
      <c r="I91" s="1472"/>
    </row>
    <row r="92" spans="1:9" ht="15">
      <c r="A92" s="1460"/>
      <c r="B92" s="387" t="s">
        <v>266</v>
      </c>
      <c r="C92" s="389" t="s">
        <v>1732</v>
      </c>
      <c r="D92" s="1470">
        <v>18</v>
      </c>
      <c r="E92" s="1471"/>
      <c r="F92" s="1472"/>
      <c r="G92" s="1470">
        <v>16</v>
      </c>
      <c r="H92" s="1471"/>
      <c r="I92" s="1472"/>
    </row>
    <row r="93" spans="1:9" ht="58.5" customHeight="1">
      <c r="A93" s="1458">
        <v>9</v>
      </c>
      <c r="B93" s="385" t="s">
        <v>269</v>
      </c>
      <c r="C93" s="1445" t="s">
        <v>1732</v>
      </c>
      <c r="D93" s="1486">
        <f>SUM(D95,D103,D111,D119,D127)</f>
        <v>2568</v>
      </c>
      <c r="E93" s="1487"/>
      <c r="F93" s="1488"/>
      <c r="G93" s="1486">
        <f>SUM(G95,G103,G111,G119,G127)</f>
        <v>2568</v>
      </c>
      <c r="H93" s="1487"/>
      <c r="I93" s="1488"/>
    </row>
    <row r="94" spans="1:9" ht="14.25" customHeight="1">
      <c r="A94" s="1459"/>
      <c r="B94" s="387" t="s">
        <v>270</v>
      </c>
      <c r="C94" s="1446"/>
      <c r="D94" s="1489"/>
      <c r="E94" s="1490"/>
      <c r="F94" s="1491"/>
      <c r="G94" s="1489"/>
      <c r="H94" s="1490"/>
      <c r="I94" s="1491"/>
    </row>
    <row r="95" spans="1:9" ht="14.25" customHeight="1">
      <c r="A95" s="1459"/>
      <c r="B95" s="385" t="s">
        <v>271</v>
      </c>
      <c r="C95" s="389" t="s">
        <v>1732</v>
      </c>
      <c r="D95" s="1477">
        <f>SUM(D96,D97,D98,D99,D100,D101,D102)</f>
        <v>0</v>
      </c>
      <c r="E95" s="1478"/>
      <c r="F95" s="1479"/>
      <c r="G95" s="1477">
        <f>SUM(G96,G97,G98,G99,G100,G101,G102)</f>
        <v>0</v>
      </c>
      <c r="H95" s="1478"/>
      <c r="I95" s="1479"/>
    </row>
    <row r="96" spans="1:9" ht="14.25" customHeight="1">
      <c r="A96" s="1459"/>
      <c r="B96" s="387" t="s">
        <v>272</v>
      </c>
      <c r="C96" s="389" t="s">
        <v>1732</v>
      </c>
      <c r="D96" s="1477">
        <v>0</v>
      </c>
      <c r="E96" s="1478"/>
      <c r="F96" s="1479"/>
      <c r="G96" s="1477">
        <v>0</v>
      </c>
      <c r="H96" s="1478"/>
      <c r="I96" s="1479"/>
    </row>
    <row r="97" spans="1:9" ht="14.25" customHeight="1">
      <c r="A97" s="1459"/>
      <c r="B97" s="387" t="s">
        <v>273</v>
      </c>
      <c r="C97" s="389" t="s">
        <v>1732</v>
      </c>
      <c r="D97" s="1477">
        <v>0</v>
      </c>
      <c r="E97" s="1478"/>
      <c r="F97" s="1479"/>
      <c r="G97" s="1477">
        <v>0</v>
      </c>
      <c r="H97" s="1478"/>
      <c r="I97" s="1479"/>
    </row>
    <row r="98" spans="1:9" ht="14.25" customHeight="1">
      <c r="A98" s="1459"/>
      <c r="B98" s="387" t="s">
        <v>274</v>
      </c>
      <c r="C98" s="389" t="s">
        <v>1732</v>
      </c>
      <c r="D98" s="1477">
        <v>0</v>
      </c>
      <c r="E98" s="1478"/>
      <c r="F98" s="1479"/>
      <c r="G98" s="1477">
        <v>0</v>
      </c>
      <c r="H98" s="1478"/>
      <c r="I98" s="1479"/>
    </row>
    <row r="99" spans="1:9" ht="14.25" customHeight="1">
      <c r="A99" s="1459"/>
      <c r="B99" s="387" t="s">
        <v>275</v>
      </c>
      <c r="C99" s="389" t="s">
        <v>1732</v>
      </c>
      <c r="D99" s="1477">
        <v>0</v>
      </c>
      <c r="E99" s="1478"/>
      <c r="F99" s="1479"/>
      <c r="G99" s="1477">
        <v>0</v>
      </c>
      <c r="H99" s="1478"/>
      <c r="I99" s="1479"/>
    </row>
    <row r="100" spans="1:9" ht="14.25" customHeight="1">
      <c r="A100" s="1459"/>
      <c r="B100" s="387" t="s">
        <v>276</v>
      </c>
      <c r="C100" s="389" t="s">
        <v>1732</v>
      </c>
      <c r="D100" s="1477">
        <v>0</v>
      </c>
      <c r="E100" s="1478"/>
      <c r="F100" s="1479"/>
      <c r="G100" s="1477">
        <v>0</v>
      </c>
      <c r="H100" s="1478"/>
      <c r="I100" s="1479"/>
    </row>
    <row r="101" spans="1:9" ht="14.25" customHeight="1">
      <c r="A101" s="1459"/>
      <c r="B101" s="387" t="s">
        <v>277</v>
      </c>
      <c r="C101" s="389" t="s">
        <v>1732</v>
      </c>
      <c r="D101" s="1477">
        <v>0</v>
      </c>
      <c r="E101" s="1478"/>
      <c r="F101" s="1479"/>
      <c r="G101" s="1477">
        <v>0</v>
      </c>
      <c r="H101" s="1478"/>
      <c r="I101" s="1479"/>
    </row>
    <row r="102" spans="1:9" ht="14.25" customHeight="1">
      <c r="A102" s="1459"/>
      <c r="B102" s="387" t="s">
        <v>278</v>
      </c>
      <c r="C102" s="389" t="s">
        <v>1732</v>
      </c>
      <c r="D102" s="1477">
        <v>0</v>
      </c>
      <c r="E102" s="1478"/>
      <c r="F102" s="1479"/>
      <c r="G102" s="1477">
        <v>0</v>
      </c>
      <c r="H102" s="1478"/>
      <c r="I102" s="1479"/>
    </row>
    <row r="103" spans="1:9" ht="14.25" customHeight="1">
      <c r="A103" s="1459"/>
      <c r="B103" s="385" t="s">
        <v>279</v>
      </c>
      <c r="C103" s="389" t="s">
        <v>1732</v>
      </c>
      <c r="D103" s="1477">
        <f>SUM(D104,D105,D106,D107,D108,D109,D110)</f>
        <v>0</v>
      </c>
      <c r="E103" s="1478"/>
      <c r="F103" s="1479"/>
      <c r="G103" s="1477">
        <f>SUM(G104,G105,G106,G107,G108,G109,G110)</f>
        <v>0</v>
      </c>
      <c r="H103" s="1478"/>
      <c r="I103" s="1479"/>
    </row>
    <row r="104" spans="1:9" ht="14.25" customHeight="1">
      <c r="A104" s="1459"/>
      <c r="B104" s="387" t="s">
        <v>272</v>
      </c>
      <c r="C104" s="389" t="s">
        <v>1732</v>
      </c>
      <c r="D104" s="1470">
        <v>0</v>
      </c>
      <c r="E104" s="1471"/>
      <c r="F104" s="1472"/>
      <c r="G104" s="1470">
        <v>0</v>
      </c>
      <c r="H104" s="1471"/>
      <c r="I104" s="1472"/>
    </row>
    <row r="105" spans="1:9" ht="14.25" customHeight="1">
      <c r="A105" s="1459"/>
      <c r="B105" s="387" t="s">
        <v>273</v>
      </c>
      <c r="C105" s="389" t="s">
        <v>1732</v>
      </c>
      <c r="D105" s="1470">
        <v>0</v>
      </c>
      <c r="E105" s="1471"/>
      <c r="F105" s="1472"/>
      <c r="G105" s="1470">
        <v>0</v>
      </c>
      <c r="H105" s="1471"/>
      <c r="I105" s="1472"/>
    </row>
    <row r="106" spans="1:9" ht="14.25" customHeight="1">
      <c r="A106" s="1459"/>
      <c r="B106" s="387" t="s">
        <v>274</v>
      </c>
      <c r="C106" s="389" t="s">
        <v>1732</v>
      </c>
      <c r="D106" s="1470">
        <v>0</v>
      </c>
      <c r="E106" s="1471"/>
      <c r="F106" s="1472"/>
      <c r="G106" s="1470">
        <v>0</v>
      </c>
      <c r="H106" s="1471"/>
      <c r="I106" s="1472"/>
    </row>
    <row r="107" spans="1:9" ht="14.25" customHeight="1">
      <c r="A107" s="1459"/>
      <c r="B107" s="387" t="s">
        <v>275</v>
      </c>
      <c r="C107" s="389" t="s">
        <v>1732</v>
      </c>
      <c r="D107" s="1470">
        <v>0</v>
      </c>
      <c r="E107" s="1471"/>
      <c r="F107" s="1472"/>
      <c r="G107" s="1470">
        <v>0</v>
      </c>
      <c r="H107" s="1471"/>
      <c r="I107" s="1472"/>
    </row>
    <row r="108" spans="1:9" ht="14.25" customHeight="1">
      <c r="A108" s="1459"/>
      <c r="B108" s="387" t="s">
        <v>276</v>
      </c>
      <c r="C108" s="389" t="s">
        <v>1732</v>
      </c>
      <c r="D108" s="1470">
        <v>0</v>
      </c>
      <c r="E108" s="1471"/>
      <c r="F108" s="1472"/>
      <c r="G108" s="1470">
        <v>0</v>
      </c>
      <c r="H108" s="1471"/>
      <c r="I108" s="1472"/>
    </row>
    <row r="109" spans="1:9" ht="14.25" customHeight="1">
      <c r="A109" s="1459"/>
      <c r="B109" s="387" t="s">
        <v>277</v>
      </c>
      <c r="C109" s="389" t="s">
        <v>1732</v>
      </c>
      <c r="D109" s="1477">
        <v>0</v>
      </c>
      <c r="E109" s="1478"/>
      <c r="F109" s="1479"/>
      <c r="G109" s="1477">
        <v>0</v>
      </c>
      <c r="H109" s="1478"/>
      <c r="I109" s="1479"/>
    </row>
    <row r="110" spans="1:9" ht="14.25" customHeight="1">
      <c r="A110" s="1459"/>
      <c r="B110" s="387" t="s">
        <v>278</v>
      </c>
      <c r="C110" s="389" t="s">
        <v>1732</v>
      </c>
      <c r="D110" s="1477">
        <v>0</v>
      </c>
      <c r="E110" s="1478"/>
      <c r="F110" s="1479"/>
      <c r="G110" s="1477">
        <v>0</v>
      </c>
      <c r="H110" s="1478"/>
      <c r="I110" s="1479"/>
    </row>
    <row r="111" spans="1:9" ht="14.25" customHeight="1">
      <c r="A111" s="1459"/>
      <c r="B111" s="385" t="s">
        <v>280</v>
      </c>
      <c r="C111" s="389" t="s">
        <v>1732</v>
      </c>
      <c r="D111" s="1477">
        <f>SUM(D112,D113,D114,D115,D116,D117,D118)</f>
        <v>51</v>
      </c>
      <c r="E111" s="1478"/>
      <c r="F111" s="1479"/>
      <c r="G111" s="1477">
        <f>SUM(G112,G113,G114,G115,G116,G117,G118)</f>
        <v>51</v>
      </c>
      <c r="H111" s="1478"/>
      <c r="I111" s="1479"/>
    </row>
    <row r="112" spans="1:9" ht="14.25" customHeight="1">
      <c r="A112" s="1459"/>
      <c r="B112" s="387" t="s">
        <v>272</v>
      </c>
      <c r="C112" s="389" t="s">
        <v>1732</v>
      </c>
      <c r="D112" s="1470">
        <v>51</v>
      </c>
      <c r="E112" s="1471"/>
      <c r="F112" s="1472"/>
      <c r="G112" s="1470">
        <v>51</v>
      </c>
      <c r="H112" s="1471"/>
      <c r="I112" s="1472"/>
    </row>
    <row r="113" spans="1:9" ht="14.25" customHeight="1">
      <c r="A113" s="1459"/>
      <c r="B113" s="387" t="s">
        <v>273</v>
      </c>
      <c r="C113" s="389" t="s">
        <v>1732</v>
      </c>
      <c r="D113" s="1477">
        <v>0</v>
      </c>
      <c r="E113" s="1478"/>
      <c r="F113" s="1479"/>
      <c r="G113" s="1477">
        <v>0</v>
      </c>
      <c r="H113" s="1478"/>
      <c r="I113" s="1479"/>
    </row>
    <row r="114" spans="1:9" ht="14.25" customHeight="1">
      <c r="A114" s="1459"/>
      <c r="B114" s="387" t="s">
        <v>274</v>
      </c>
      <c r="C114" s="389" t="s">
        <v>1732</v>
      </c>
      <c r="D114" s="1477">
        <v>0</v>
      </c>
      <c r="E114" s="1478"/>
      <c r="F114" s="1479"/>
      <c r="G114" s="1477">
        <v>0</v>
      </c>
      <c r="H114" s="1478"/>
      <c r="I114" s="1479"/>
    </row>
    <row r="115" spans="1:9" ht="14.25" customHeight="1">
      <c r="A115" s="1459"/>
      <c r="B115" s="387" t="s">
        <v>275</v>
      </c>
      <c r="C115" s="389" t="s">
        <v>1732</v>
      </c>
      <c r="D115" s="1470">
        <v>0</v>
      </c>
      <c r="E115" s="1471"/>
      <c r="F115" s="1472"/>
      <c r="G115" s="1470">
        <v>0</v>
      </c>
      <c r="H115" s="1471"/>
      <c r="I115" s="1472"/>
    </row>
    <row r="116" spans="1:9" ht="14.25" customHeight="1">
      <c r="A116" s="1459"/>
      <c r="B116" s="387" t="s">
        <v>276</v>
      </c>
      <c r="C116" s="389" t="s">
        <v>1732</v>
      </c>
      <c r="D116" s="1470">
        <v>0</v>
      </c>
      <c r="E116" s="1471"/>
      <c r="F116" s="1472"/>
      <c r="G116" s="1470">
        <v>0</v>
      </c>
      <c r="H116" s="1471"/>
      <c r="I116" s="1472"/>
    </row>
    <row r="117" spans="1:9" ht="14.25" customHeight="1">
      <c r="A117" s="1459"/>
      <c r="B117" s="387" t="s">
        <v>277</v>
      </c>
      <c r="C117" s="389" t="s">
        <v>1732</v>
      </c>
      <c r="D117" s="1470">
        <v>0</v>
      </c>
      <c r="E117" s="1471"/>
      <c r="F117" s="1472"/>
      <c r="G117" s="1470">
        <v>0</v>
      </c>
      <c r="H117" s="1471"/>
      <c r="I117" s="1472"/>
    </row>
    <row r="118" spans="1:9" ht="14.25" customHeight="1">
      <c r="A118" s="1459"/>
      <c r="B118" s="387" t="s">
        <v>278</v>
      </c>
      <c r="C118" s="389" t="s">
        <v>1732</v>
      </c>
      <c r="D118" s="1470">
        <v>0</v>
      </c>
      <c r="E118" s="1471"/>
      <c r="F118" s="1472"/>
      <c r="G118" s="1470">
        <v>0</v>
      </c>
      <c r="H118" s="1471"/>
      <c r="I118" s="1472"/>
    </row>
    <row r="119" spans="1:9" ht="14.25" customHeight="1">
      <c r="A119" s="1459"/>
      <c r="B119" s="385" t="s">
        <v>281</v>
      </c>
      <c r="C119" s="389" t="s">
        <v>1732</v>
      </c>
      <c r="D119" s="1477">
        <f>SUM(D120,D121,D122,D123,D124,D125,D126)</f>
        <v>375</v>
      </c>
      <c r="E119" s="1478"/>
      <c r="F119" s="1479"/>
      <c r="G119" s="1477">
        <f>SUM(G120,G121,G122,G123,G124,G125,G126)</f>
        <v>375</v>
      </c>
      <c r="H119" s="1478"/>
      <c r="I119" s="1479"/>
    </row>
    <row r="120" spans="1:9" ht="14.25" customHeight="1">
      <c r="A120" s="1459"/>
      <c r="B120" s="387" t="s">
        <v>272</v>
      </c>
      <c r="C120" s="389" t="s">
        <v>1732</v>
      </c>
      <c r="D120" s="1470">
        <v>312</v>
      </c>
      <c r="E120" s="1471"/>
      <c r="F120" s="1472"/>
      <c r="G120" s="1470">
        <v>312</v>
      </c>
      <c r="H120" s="1471"/>
      <c r="I120" s="1472"/>
    </row>
    <row r="121" spans="1:9" ht="14.25" customHeight="1">
      <c r="A121" s="1459"/>
      <c r="B121" s="387" t="s">
        <v>273</v>
      </c>
      <c r="C121" s="389" t="s">
        <v>1732</v>
      </c>
      <c r="D121" s="1477">
        <v>0</v>
      </c>
      <c r="E121" s="1478"/>
      <c r="F121" s="1479"/>
      <c r="G121" s="1477">
        <v>0</v>
      </c>
      <c r="H121" s="1478"/>
      <c r="I121" s="1479"/>
    </row>
    <row r="122" spans="1:9" ht="14.25" customHeight="1">
      <c r="A122" s="1459"/>
      <c r="B122" s="387" t="s">
        <v>274</v>
      </c>
      <c r="C122" s="389" t="s">
        <v>1732</v>
      </c>
      <c r="D122" s="1477">
        <v>0</v>
      </c>
      <c r="E122" s="1478"/>
      <c r="F122" s="1479"/>
      <c r="G122" s="1477">
        <v>0</v>
      </c>
      <c r="H122" s="1478"/>
      <c r="I122" s="1479"/>
    </row>
    <row r="123" spans="1:9" ht="14.25" customHeight="1">
      <c r="A123" s="1459"/>
      <c r="B123" s="387" t="s">
        <v>275</v>
      </c>
      <c r="C123" s="389" t="s">
        <v>1732</v>
      </c>
      <c r="D123" s="1470">
        <v>63</v>
      </c>
      <c r="E123" s="1471"/>
      <c r="F123" s="1472"/>
      <c r="G123" s="1470">
        <v>63</v>
      </c>
      <c r="H123" s="1471"/>
      <c r="I123" s="1472"/>
    </row>
    <row r="124" spans="1:9" ht="14.25" customHeight="1">
      <c r="A124" s="1459"/>
      <c r="B124" s="387" t="s">
        <v>276</v>
      </c>
      <c r="C124" s="389" t="s">
        <v>1732</v>
      </c>
      <c r="D124" s="1477">
        <v>0</v>
      </c>
      <c r="E124" s="1478"/>
      <c r="F124" s="1479"/>
      <c r="G124" s="1477">
        <v>0</v>
      </c>
      <c r="H124" s="1478"/>
      <c r="I124" s="1479"/>
    </row>
    <row r="125" spans="1:9" ht="14.25" customHeight="1">
      <c r="A125" s="1459"/>
      <c r="B125" s="387" t="s">
        <v>277</v>
      </c>
      <c r="C125" s="389" t="s">
        <v>1732</v>
      </c>
      <c r="D125" s="1477">
        <v>0</v>
      </c>
      <c r="E125" s="1478"/>
      <c r="F125" s="1479"/>
      <c r="G125" s="1477">
        <v>0</v>
      </c>
      <c r="H125" s="1478"/>
      <c r="I125" s="1479"/>
    </row>
    <row r="126" spans="1:9" ht="14.25" customHeight="1">
      <c r="A126" s="1459"/>
      <c r="B126" s="387" t="s">
        <v>278</v>
      </c>
      <c r="C126" s="389" t="s">
        <v>1732</v>
      </c>
      <c r="D126" s="1477">
        <v>0</v>
      </c>
      <c r="E126" s="1478"/>
      <c r="F126" s="1479"/>
      <c r="G126" s="1477">
        <v>0</v>
      </c>
      <c r="H126" s="1478"/>
      <c r="I126" s="1479"/>
    </row>
    <row r="127" spans="1:9" ht="15">
      <c r="A127" s="1459"/>
      <c r="B127" s="385" t="s">
        <v>282</v>
      </c>
      <c r="C127" s="389" t="s">
        <v>1732</v>
      </c>
      <c r="D127" s="1477">
        <f>SUM(D128,D129,D130,D131,D132,D133,D134)</f>
        <v>2142</v>
      </c>
      <c r="E127" s="1478"/>
      <c r="F127" s="1479"/>
      <c r="G127" s="1477">
        <f>SUM(G128,G129,G130,G131,G132,G133,G134)</f>
        <v>2142</v>
      </c>
      <c r="H127" s="1478"/>
      <c r="I127" s="1479"/>
    </row>
    <row r="128" spans="1:9" ht="15">
      <c r="A128" s="1459"/>
      <c r="B128" s="387" t="s">
        <v>272</v>
      </c>
      <c r="C128" s="389" t="s">
        <v>1732</v>
      </c>
      <c r="D128" s="1470">
        <f>663+472</f>
        <v>1135</v>
      </c>
      <c r="E128" s="1471"/>
      <c r="F128" s="1472"/>
      <c r="G128" s="1477">
        <f>1135-4</f>
        <v>1131</v>
      </c>
      <c r="H128" s="1478"/>
      <c r="I128" s="1479"/>
    </row>
    <row r="129" spans="1:9" ht="15">
      <c r="A129" s="1459"/>
      <c r="B129" s="387" t="s">
        <v>273</v>
      </c>
      <c r="C129" s="389" t="s">
        <v>1732</v>
      </c>
      <c r="D129" s="1470">
        <v>0</v>
      </c>
      <c r="E129" s="1471"/>
      <c r="F129" s="1472"/>
      <c r="G129" s="1470">
        <v>0</v>
      </c>
      <c r="H129" s="1471"/>
      <c r="I129" s="1472"/>
    </row>
    <row r="130" spans="1:9" ht="15">
      <c r="A130" s="1459"/>
      <c r="B130" s="387" t="s">
        <v>274</v>
      </c>
      <c r="C130" s="389" t="s">
        <v>1732</v>
      </c>
      <c r="D130" s="1470">
        <v>0</v>
      </c>
      <c r="E130" s="1471"/>
      <c r="F130" s="1472"/>
      <c r="G130" s="1470">
        <v>0</v>
      </c>
      <c r="H130" s="1471"/>
      <c r="I130" s="1472"/>
    </row>
    <row r="131" spans="1:9" ht="15">
      <c r="A131" s="1459"/>
      <c r="B131" s="387" t="s">
        <v>275</v>
      </c>
      <c r="C131" s="389" t="s">
        <v>1732</v>
      </c>
      <c r="D131" s="1470">
        <f>921+86</f>
        <v>1007</v>
      </c>
      <c r="E131" s="1471"/>
      <c r="F131" s="1472"/>
      <c r="G131" s="1470">
        <f>1007+4</f>
        <v>1011</v>
      </c>
      <c r="H131" s="1471"/>
      <c r="I131" s="1472"/>
    </row>
    <row r="132" spans="1:9" ht="15">
      <c r="A132" s="1459"/>
      <c r="B132" s="387" t="s">
        <v>276</v>
      </c>
      <c r="C132" s="389" t="s">
        <v>1732</v>
      </c>
      <c r="D132" s="1470">
        <v>0</v>
      </c>
      <c r="E132" s="1471"/>
      <c r="F132" s="1472"/>
      <c r="G132" s="1470">
        <v>0</v>
      </c>
      <c r="H132" s="1471"/>
      <c r="I132" s="1472"/>
    </row>
    <row r="133" spans="1:9" ht="15">
      <c r="A133" s="1459"/>
      <c r="B133" s="387" t="s">
        <v>277</v>
      </c>
      <c r="C133" s="389" t="s">
        <v>1732</v>
      </c>
      <c r="D133" s="1470">
        <v>0</v>
      </c>
      <c r="E133" s="1471"/>
      <c r="F133" s="1472"/>
      <c r="G133" s="1470">
        <v>0</v>
      </c>
      <c r="H133" s="1471"/>
      <c r="I133" s="1472"/>
    </row>
    <row r="134" spans="1:9" ht="15">
      <c r="A134" s="1459"/>
      <c r="B134" s="387" t="s">
        <v>278</v>
      </c>
      <c r="C134" s="389" t="s">
        <v>1732</v>
      </c>
      <c r="D134" s="1470">
        <v>0</v>
      </c>
      <c r="E134" s="1471"/>
      <c r="F134" s="1472"/>
      <c r="G134" s="1470">
        <v>0</v>
      </c>
      <c r="H134" s="1471"/>
      <c r="I134" s="1472"/>
    </row>
    <row r="135" spans="1:9" ht="31.5" customHeight="1">
      <c r="A135" s="1458">
        <v>10</v>
      </c>
      <c r="B135" s="385" t="s">
        <v>283</v>
      </c>
      <c r="C135" s="1445" t="s">
        <v>254</v>
      </c>
      <c r="D135" s="1461">
        <f>SUM(D137:D141)</f>
        <v>579</v>
      </c>
      <c r="E135" s="1475">
        <f>IF(D93=0,0,D135/D93)</f>
        <v>0.22546728971962618</v>
      </c>
      <c r="F135" s="1475"/>
      <c r="G135" s="1461">
        <f>SUM(G137:G141)</f>
        <v>579</v>
      </c>
      <c r="H135" s="1492">
        <f>IF(G93=0,0,G135/G93)</f>
        <v>0.22546728971962618</v>
      </c>
      <c r="I135" s="1493"/>
    </row>
    <row r="136" spans="1:9" ht="14.25" customHeight="1">
      <c r="A136" s="1459"/>
      <c r="B136" s="387" t="s">
        <v>1744</v>
      </c>
      <c r="C136" s="1446"/>
      <c r="D136" s="1462"/>
      <c r="E136" s="1476"/>
      <c r="F136" s="1476"/>
      <c r="G136" s="1462"/>
      <c r="H136" s="1494"/>
      <c r="I136" s="1495"/>
    </row>
    <row r="137" spans="1:9" ht="14.25" customHeight="1">
      <c r="A137" s="1459"/>
      <c r="B137" s="385" t="s">
        <v>2125</v>
      </c>
      <c r="C137" s="389" t="s">
        <v>254</v>
      </c>
      <c r="D137" s="391">
        <v>0</v>
      </c>
      <c r="E137" s="1453">
        <f>IF(D135=0,0,D137/D135)</f>
        <v>0</v>
      </c>
      <c r="F137" s="1454"/>
      <c r="G137" s="391">
        <v>0</v>
      </c>
      <c r="H137" s="1453">
        <f>IF(G135=0,0,G137/G135)</f>
        <v>0</v>
      </c>
      <c r="I137" s="1454"/>
    </row>
    <row r="138" spans="1:9" ht="14.25" customHeight="1">
      <c r="A138" s="1459"/>
      <c r="B138" s="385" t="s">
        <v>1739</v>
      </c>
      <c r="C138" s="386" t="s">
        <v>254</v>
      </c>
      <c r="D138" s="391">
        <v>0</v>
      </c>
      <c r="E138" s="1453">
        <f>IF(D135=0,0,D138/D135)</f>
        <v>0</v>
      </c>
      <c r="F138" s="1454"/>
      <c r="G138" s="391">
        <v>0</v>
      </c>
      <c r="H138" s="1453">
        <f>IF(G135=0,0,G138/G135)</f>
        <v>0</v>
      </c>
      <c r="I138" s="1454"/>
    </row>
    <row r="139" spans="1:9" ht="14.25" customHeight="1">
      <c r="A139" s="1459"/>
      <c r="B139" s="385" t="s">
        <v>1740</v>
      </c>
      <c r="C139" s="389" t="s">
        <v>254</v>
      </c>
      <c r="D139" s="391">
        <v>14</v>
      </c>
      <c r="E139" s="1453">
        <f>IF(D135=0,0,D139/D135)</f>
        <v>0.024179620034542316</v>
      </c>
      <c r="F139" s="1454"/>
      <c r="G139" s="391">
        <v>14</v>
      </c>
      <c r="H139" s="1453">
        <f>IF(G135=0,0,G139/G135)</f>
        <v>0.024179620034542316</v>
      </c>
      <c r="I139" s="1454"/>
    </row>
    <row r="140" spans="1:9" ht="14.25" customHeight="1">
      <c r="A140" s="1459"/>
      <c r="B140" s="385" t="s">
        <v>1741</v>
      </c>
      <c r="C140" s="389" t="s">
        <v>254</v>
      </c>
      <c r="D140" s="391">
        <v>29</v>
      </c>
      <c r="E140" s="1453">
        <f>IF(D135=0,0,D140/D135)</f>
        <v>0.05008635578583765</v>
      </c>
      <c r="F140" s="1454"/>
      <c r="G140" s="391">
        <v>29</v>
      </c>
      <c r="H140" s="1453">
        <f>IF(G135=0,0,G140/G135)</f>
        <v>0.05008635578583765</v>
      </c>
      <c r="I140" s="1454"/>
    </row>
    <row r="141" spans="1:10" ht="15">
      <c r="A141" s="1459"/>
      <c r="B141" s="385" t="s">
        <v>264</v>
      </c>
      <c r="C141" s="389" t="s">
        <v>254</v>
      </c>
      <c r="D141" s="390">
        <f>380+156</f>
        <v>536</v>
      </c>
      <c r="E141" s="1453">
        <f>IF(D135=0,0,D141/D135)</f>
        <v>0.92573402417962</v>
      </c>
      <c r="F141" s="1454"/>
      <c r="G141" s="390">
        <v>536</v>
      </c>
      <c r="H141" s="1453">
        <f>IF(G135=0,0,G141/G135)</f>
        <v>0.92573402417962</v>
      </c>
      <c r="I141" s="1454"/>
      <c r="J141" s="110"/>
    </row>
    <row r="142" spans="1:9" ht="77.25" customHeight="1">
      <c r="A142" s="1458">
        <v>11</v>
      </c>
      <c r="B142" s="385" t="s">
        <v>284</v>
      </c>
      <c r="C142" s="1445" t="s">
        <v>1732</v>
      </c>
      <c r="D142" s="1486">
        <f>SUM(D144:F148)</f>
        <v>13</v>
      </c>
      <c r="E142" s="1487"/>
      <c r="F142" s="1488"/>
      <c r="G142" s="1486">
        <f>SUM(G144:I148)</f>
        <v>13</v>
      </c>
      <c r="H142" s="1487"/>
      <c r="I142" s="1488"/>
    </row>
    <row r="143" spans="1:9" ht="15">
      <c r="A143" s="1459"/>
      <c r="B143" s="387" t="s">
        <v>1744</v>
      </c>
      <c r="C143" s="1446"/>
      <c r="D143" s="1489"/>
      <c r="E143" s="1490"/>
      <c r="F143" s="1491"/>
      <c r="G143" s="1489"/>
      <c r="H143" s="1490"/>
      <c r="I143" s="1491"/>
    </row>
    <row r="144" spans="1:9" ht="15">
      <c r="A144" s="1459"/>
      <c r="B144" s="385" t="s">
        <v>2125</v>
      </c>
      <c r="C144" s="389" t="s">
        <v>1732</v>
      </c>
      <c r="D144" s="1477">
        <v>0</v>
      </c>
      <c r="E144" s="1478"/>
      <c r="F144" s="1479"/>
      <c r="G144" s="1477">
        <v>0</v>
      </c>
      <c r="H144" s="1478"/>
      <c r="I144" s="1479"/>
    </row>
    <row r="145" spans="1:9" ht="15">
      <c r="A145" s="1459"/>
      <c r="B145" s="385" t="s">
        <v>1739</v>
      </c>
      <c r="C145" s="389" t="s">
        <v>1732</v>
      </c>
      <c r="D145" s="1470">
        <v>0</v>
      </c>
      <c r="E145" s="1471"/>
      <c r="F145" s="1472"/>
      <c r="G145" s="1470">
        <v>0</v>
      </c>
      <c r="H145" s="1471"/>
      <c r="I145" s="1472"/>
    </row>
    <row r="146" spans="1:9" ht="15">
      <c r="A146" s="1459"/>
      <c r="B146" s="385" t="s">
        <v>1740</v>
      </c>
      <c r="C146" s="389" t="s">
        <v>1732</v>
      </c>
      <c r="D146" s="1470">
        <v>0</v>
      </c>
      <c r="E146" s="1471"/>
      <c r="F146" s="1472"/>
      <c r="G146" s="1470">
        <v>0</v>
      </c>
      <c r="H146" s="1471"/>
      <c r="I146" s="1472"/>
    </row>
    <row r="147" spans="1:9" ht="15">
      <c r="A147" s="1459"/>
      <c r="B147" s="385" t="s">
        <v>1741</v>
      </c>
      <c r="C147" s="389" t="s">
        <v>1732</v>
      </c>
      <c r="D147" s="1470">
        <v>0</v>
      </c>
      <c r="E147" s="1471"/>
      <c r="F147" s="1472"/>
      <c r="G147" s="1470">
        <v>0</v>
      </c>
      <c r="H147" s="1471"/>
      <c r="I147" s="1472"/>
    </row>
    <row r="148" spans="1:9" ht="15">
      <c r="A148" s="1460"/>
      <c r="B148" s="385" t="s">
        <v>264</v>
      </c>
      <c r="C148" s="389" t="s">
        <v>1732</v>
      </c>
      <c r="D148" s="1470">
        <v>13</v>
      </c>
      <c r="E148" s="1471"/>
      <c r="F148" s="1472"/>
      <c r="G148" s="1470">
        <v>13</v>
      </c>
      <c r="H148" s="1471"/>
      <c r="I148" s="1472"/>
    </row>
    <row r="149" spans="1:9" ht="36" customHeight="1">
      <c r="A149" s="1458">
        <v>12</v>
      </c>
      <c r="B149" s="385" t="s">
        <v>285</v>
      </c>
      <c r="C149" s="389" t="s">
        <v>249</v>
      </c>
      <c r="D149" s="394">
        <f>SUM(D152,D156)</f>
        <v>8437</v>
      </c>
      <c r="E149" s="1455">
        <v>1489.381</v>
      </c>
      <c r="F149" s="1457"/>
      <c r="G149" s="394">
        <f>SUM(G152,G156)</f>
        <v>8437</v>
      </c>
      <c r="H149" s="1455">
        <v>1489.382</v>
      </c>
      <c r="I149" s="1457"/>
    </row>
    <row r="150" spans="1:10" ht="15">
      <c r="A150" s="1459"/>
      <c r="B150" s="387" t="s">
        <v>262</v>
      </c>
      <c r="C150" s="389" t="s">
        <v>254</v>
      </c>
      <c r="D150" s="1496">
        <v>5946</v>
      </c>
      <c r="E150" s="1475">
        <f>IF(D149=0,0,D150/D149)</f>
        <v>0.7047528742443997</v>
      </c>
      <c r="F150" s="1475"/>
      <c r="G150" s="1496">
        <f>D150</f>
        <v>5946</v>
      </c>
      <c r="H150" s="1475">
        <f>IF(G149=0,0,G150/G149)</f>
        <v>0.7047528742443997</v>
      </c>
      <c r="I150" s="1475"/>
      <c r="J150" s="112"/>
    </row>
    <row r="151" spans="1:9" ht="15">
      <c r="A151" s="1459"/>
      <c r="B151" s="387" t="s">
        <v>1744</v>
      </c>
      <c r="C151" s="389" t="s">
        <v>254</v>
      </c>
      <c r="D151" s="1497"/>
      <c r="E151" s="1476"/>
      <c r="F151" s="1476"/>
      <c r="G151" s="1497"/>
      <c r="H151" s="1476"/>
      <c r="I151" s="1476"/>
    </row>
    <row r="152" spans="1:9" ht="15">
      <c r="A152" s="1459"/>
      <c r="B152" s="387" t="s">
        <v>286</v>
      </c>
      <c r="C152" s="389" t="s">
        <v>254</v>
      </c>
      <c r="D152" s="394">
        <f>SUM(D153,D155)</f>
        <v>7151</v>
      </c>
      <c r="E152" s="1453">
        <f>IF(D149=0,0,D152/D149)</f>
        <v>0.8475761526608985</v>
      </c>
      <c r="F152" s="1454"/>
      <c r="G152" s="394">
        <v>7151</v>
      </c>
      <c r="H152" s="1453">
        <f>IF(G149=0,0,G152/G149)</f>
        <v>0.8475761526608985</v>
      </c>
      <c r="I152" s="1454"/>
    </row>
    <row r="153" spans="1:9" ht="15">
      <c r="A153" s="1459"/>
      <c r="B153" s="387" t="s">
        <v>287</v>
      </c>
      <c r="C153" s="389" t="s">
        <v>254</v>
      </c>
      <c r="D153" s="390">
        <v>7150</v>
      </c>
      <c r="E153" s="1453">
        <f>IF(D152=0,0,D153/D152)</f>
        <v>0.9998601594182632</v>
      </c>
      <c r="F153" s="1454"/>
      <c r="G153" s="390">
        <v>7150</v>
      </c>
      <c r="H153" s="1453">
        <f>IF(G152=0,0,G153/G152)</f>
        <v>0.9998601594182632</v>
      </c>
      <c r="I153" s="1454"/>
    </row>
    <row r="154" spans="1:9" ht="15">
      <c r="A154" s="1459"/>
      <c r="B154" s="387" t="s">
        <v>288</v>
      </c>
      <c r="C154" s="389" t="s">
        <v>254</v>
      </c>
      <c r="D154" s="390">
        <v>216</v>
      </c>
      <c r="E154" s="1453">
        <f>IF(D153=0,0,D154/D153)</f>
        <v>0.03020979020979021</v>
      </c>
      <c r="F154" s="1454"/>
      <c r="G154" s="390">
        <v>216</v>
      </c>
      <c r="H154" s="1453">
        <f>IF(G153=0,0,G154/G153)</f>
        <v>0.03020979020979021</v>
      </c>
      <c r="I154" s="1454"/>
    </row>
    <row r="155" spans="1:9" ht="15">
      <c r="A155" s="1459"/>
      <c r="B155" s="387" t="s">
        <v>289</v>
      </c>
      <c r="C155" s="389" t="s">
        <v>254</v>
      </c>
      <c r="D155" s="390">
        <v>1</v>
      </c>
      <c r="E155" s="1453">
        <f>IF(D152=0,0,D155/D152)</f>
        <v>0.00013984058173682003</v>
      </c>
      <c r="F155" s="1454"/>
      <c r="G155" s="390">
        <f>D155</f>
        <v>1</v>
      </c>
      <c r="H155" s="1453">
        <f>IF(G152=0,0,G155/G152)</f>
        <v>0.00013984058173682003</v>
      </c>
      <c r="I155" s="1454"/>
    </row>
    <row r="156" spans="1:9" ht="15">
      <c r="A156" s="1459"/>
      <c r="B156" s="387" t="s">
        <v>290</v>
      </c>
      <c r="C156" s="389" t="s">
        <v>254</v>
      </c>
      <c r="D156" s="394">
        <v>1286</v>
      </c>
      <c r="E156" s="1453">
        <f>IF(D149=0,0,D156/D149)</f>
        <v>0.15242384733910158</v>
      </c>
      <c r="F156" s="1454"/>
      <c r="G156" s="394">
        <v>1286</v>
      </c>
      <c r="H156" s="1453">
        <f>IF(G149=0,0,G156/G149)</f>
        <v>0.15242384733910158</v>
      </c>
      <c r="I156" s="1454"/>
    </row>
    <row r="157" spans="1:9" ht="15">
      <c r="A157" s="1459"/>
      <c r="B157" s="387" t="s">
        <v>287</v>
      </c>
      <c r="C157" s="389" t="s">
        <v>254</v>
      </c>
      <c r="D157" s="390">
        <v>663</v>
      </c>
      <c r="E157" s="1453">
        <f>IF(D156=0,0,D157/D156)</f>
        <v>0.5155520995334371</v>
      </c>
      <c r="F157" s="1454"/>
      <c r="G157" s="390">
        <v>663</v>
      </c>
      <c r="H157" s="1453">
        <f>IF(G156=0,0,G157/G156)</f>
        <v>0.5155520995334371</v>
      </c>
      <c r="I157" s="1454"/>
    </row>
    <row r="158" spans="1:9" ht="15">
      <c r="A158" s="1459"/>
      <c r="B158" s="387" t="s">
        <v>289</v>
      </c>
      <c r="C158" s="389" t="s">
        <v>254</v>
      </c>
      <c r="D158" s="390">
        <v>623</v>
      </c>
      <c r="E158" s="1453">
        <f>IF(D156=0,0,D158/D156)</f>
        <v>0.484447900466563</v>
      </c>
      <c r="F158" s="1454"/>
      <c r="G158" s="390">
        <v>623</v>
      </c>
      <c r="H158" s="1453">
        <f>IF(G156=0,0,G158/G156)</f>
        <v>0.484447900466563</v>
      </c>
      <c r="I158" s="1454"/>
    </row>
    <row r="159" spans="1:9" ht="15">
      <c r="A159" s="1458">
        <v>13</v>
      </c>
      <c r="B159" s="385" t="s">
        <v>291</v>
      </c>
      <c r="C159" s="389" t="s">
        <v>1732</v>
      </c>
      <c r="D159" s="1470">
        <v>46</v>
      </c>
      <c r="E159" s="1471"/>
      <c r="F159" s="1472"/>
      <c r="G159" s="1470">
        <v>46</v>
      </c>
      <c r="H159" s="1471"/>
      <c r="I159" s="1472"/>
    </row>
    <row r="160" spans="1:9" ht="15">
      <c r="A160" s="1460"/>
      <c r="B160" s="387" t="s">
        <v>260</v>
      </c>
      <c r="C160" s="389" t="s">
        <v>254</v>
      </c>
      <c r="D160" s="390">
        <v>40</v>
      </c>
      <c r="E160" s="1453">
        <f>IF(D159=0,0,D160/D159)</f>
        <v>0.8695652173913043</v>
      </c>
      <c r="F160" s="1454"/>
      <c r="G160" s="390">
        <v>40</v>
      </c>
      <c r="H160" s="1453">
        <f>IF(G159=0,0,G160/G159)</f>
        <v>0.8695652173913043</v>
      </c>
      <c r="I160" s="1454"/>
    </row>
    <row r="161" spans="1:9" ht="30" customHeight="1">
      <c r="A161" s="1458">
        <v>14</v>
      </c>
      <c r="B161" s="385" t="s">
        <v>292</v>
      </c>
      <c r="C161" s="1445" t="s">
        <v>1732</v>
      </c>
      <c r="D161" s="1486">
        <f>SUM(D163:D165)</f>
        <v>772</v>
      </c>
      <c r="E161" s="1487"/>
      <c r="F161" s="1488"/>
      <c r="G161" s="1486">
        <v>772</v>
      </c>
      <c r="H161" s="1487"/>
      <c r="I161" s="1488"/>
    </row>
    <row r="162" spans="1:9" ht="14.25" customHeight="1">
      <c r="A162" s="1459"/>
      <c r="B162" s="387" t="s">
        <v>1744</v>
      </c>
      <c r="C162" s="1446"/>
      <c r="D162" s="1489"/>
      <c r="E162" s="1490"/>
      <c r="F162" s="1491"/>
      <c r="G162" s="1489"/>
      <c r="H162" s="1490"/>
      <c r="I162" s="1491"/>
    </row>
    <row r="163" spans="1:9" ht="30">
      <c r="A163" s="1459"/>
      <c r="B163" s="387" t="s">
        <v>293</v>
      </c>
      <c r="C163" s="389" t="s">
        <v>254</v>
      </c>
      <c r="D163" s="390">
        <v>433</v>
      </c>
      <c r="E163" s="1453">
        <f>IF(D161=0,0,D163/D161)</f>
        <v>0.560880829015544</v>
      </c>
      <c r="F163" s="1454"/>
      <c r="G163" s="390">
        <v>433</v>
      </c>
      <c r="H163" s="1453">
        <f>IF(G161=0,0,G163/G161)</f>
        <v>0.560880829015544</v>
      </c>
      <c r="I163" s="1454"/>
    </row>
    <row r="164" spans="1:9" ht="24" customHeight="1">
      <c r="A164" s="1459"/>
      <c r="B164" s="387" t="s">
        <v>294</v>
      </c>
      <c r="C164" s="389" t="s">
        <v>254</v>
      </c>
      <c r="D164" s="390">
        <v>328</v>
      </c>
      <c r="E164" s="1453">
        <f>IF(D161=0,0,D164/D161)</f>
        <v>0.42487046632124353</v>
      </c>
      <c r="F164" s="1454"/>
      <c r="G164" s="390">
        <v>328</v>
      </c>
      <c r="H164" s="1453">
        <f>IF(G161=0,0,G164/G161)</f>
        <v>0.42487046632124353</v>
      </c>
      <c r="I164" s="1454"/>
    </row>
    <row r="165" spans="1:9" ht="30">
      <c r="A165" s="1460"/>
      <c r="B165" s="387" t="s">
        <v>295</v>
      </c>
      <c r="C165" s="389" t="s">
        <v>254</v>
      </c>
      <c r="D165" s="390">
        <v>11</v>
      </c>
      <c r="E165" s="1453">
        <f>IF(D161=0,0,D165/D161)</f>
        <v>0.014248704663212436</v>
      </c>
      <c r="F165" s="1454"/>
      <c r="G165" s="390">
        <v>11</v>
      </c>
      <c r="H165" s="1453">
        <f>IF(G161=0,0,G165/G161)</f>
        <v>0.014248704663212436</v>
      </c>
      <c r="I165" s="1454"/>
    </row>
    <row r="166" spans="1:9" ht="45.75" customHeight="1">
      <c r="A166" s="1458">
        <v>15</v>
      </c>
      <c r="B166" s="385" t="s">
        <v>296</v>
      </c>
      <c r="C166" s="389" t="s">
        <v>1732</v>
      </c>
      <c r="D166" s="1470">
        <f>2232+11521</f>
        <v>13753</v>
      </c>
      <c r="E166" s="1471"/>
      <c r="F166" s="1472"/>
      <c r="G166" s="1470">
        <v>13753</v>
      </c>
      <c r="H166" s="1471"/>
      <c r="I166" s="1472"/>
    </row>
    <row r="167" spans="1:9" ht="15">
      <c r="A167" s="1460"/>
      <c r="B167" s="387" t="s">
        <v>266</v>
      </c>
      <c r="C167" s="389" t="s">
        <v>254</v>
      </c>
      <c r="D167" s="390">
        <f>14+452</f>
        <v>466</v>
      </c>
      <c r="E167" s="1453">
        <f>IF(D166=0,0,D167/D166)</f>
        <v>0.03388351632371119</v>
      </c>
      <c r="F167" s="1454"/>
      <c r="G167" s="390">
        <v>466</v>
      </c>
      <c r="H167" s="1453">
        <f>IF(G166=0,0,G167/G166)</f>
        <v>0.03388351632371119</v>
      </c>
      <c r="I167" s="1454"/>
    </row>
    <row r="168" spans="1:9" ht="30.75" customHeight="1">
      <c r="A168" s="1458">
        <v>16</v>
      </c>
      <c r="B168" s="385" t="s">
        <v>297</v>
      </c>
      <c r="C168" s="389" t="s">
        <v>1732</v>
      </c>
      <c r="D168" s="1470">
        <v>3819</v>
      </c>
      <c r="E168" s="1471"/>
      <c r="F168" s="1472"/>
      <c r="G168" s="1470">
        <v>3819</v>
      </c>
      <c r="H168" s="1471"/>
      <c r="I168" s="1472"/>
    </row>
    <row r="169" spans="1:9" ht="15">
      <c r="A169" s="1460"/>
      <c r="B169" s="387" t="s">
        <v>266</v>
      </c>
      <c r="C169" s="389" t="s">
        <v>254</v>
      </c>
      <c r="D169" s="390">
        <v>332</v>
      </c>
      <c r="E169" s="1453">
        <f>IF(D168=0,0,D169/D168)</f>
        <v>0.0869337522911757</v>
      </c>
      <c r="F169" s="1454"/>
      <c r="G169" s="390">
        <v>332</v>
      </c>
      <c r="H169" s="1453">
        <f>IF(G168=0,0,G169/G168)</f>
        <v>0.0869337522911757</v>
      </c>
      <c r="I169" s="1454"/>
    </row>
    <row r="170" spans="1:9" ht="29.25" customHeight="1">
      <c r="A170" s="1458">
        <v>17</v>
      </c>
      <c r="B170" s="385" t="s">
        <v>298</v>
      </c>
      <c r="C170" s="389" t="s">
        <v>2104</v>
      </c>
      <c r="D170" s="1473">
        <f>SUM(D173:D176)</f>
        <v>1519.81</v>
      </c>
      <c r="E170" s="1498"/>
      <c r="F170" s="1474"/>
      <c r="G170" s="1473">
        <f>SUM(G173:G176)</f>
        <v>1522.83</v>
      </c>
      <c r="H170" s="1498"/>
      <c r="I170" s="1474"/>
    </row>
    <row r="171" spans="1:9" ht="28.5" customHeight="1">
      <c r="A171" s="1459"/>
      <c r="B171" s="387" t="s">
        <v>299</v>
      </c>
      <c r="C171" s="1445" t="s">
        <v>236</v>
      </c>
      <c r="D171" s="1499">
        <v>42.35</v>
      </c>
      <c r="E171" s="1475">
        <f>IF(D170=0,0,D171/D170)</f>
        <v>0.027865325270922024</v>
      </c>
      <c r="F171" s="1475"/>
      <c r="G171" s="1499">
        <f>D171</f>
        <v>42.35</v>
      </c>
      <c r="H171" s="1475">
        <f>IF(G170=0,0,G171/G170)</f>
        <v>0.02781006415686584</v>
      </c>
      <c r="I171" s="1475"/>
    </row>
    <row r="172" spans="1:9" ht="12.75" customHeight="1">
      <c r="A172" s="1459"/>
      <c r="B172" s="387" t="s">
        <v>1744</v>
      </c>
      <c r="C172" s="1446"/>
      <c r="D172" s="1500"/>
      <c r="E172" s="1476"/>
      <c r="F172" s="1476"/>
      <c r="G172" s="1500"/>
      <c r="H172" s="1476"/>
      <c r="I172" s="1476"/>
    </row>
    <row r="173" spans="1:9" ht="15.75" customHeight="1">
      <c r="A173" s="1459"/>
      <c r="B173" s="385" t="s">
        <v>300</v>
      </c>
      <c r="C173" s="388"/>
      <c r="D173" s="398">
        <v>0</v>
      </c>
      <c r="E173" s="1453">
        <f>IF(D170=0,0,D173/D170)</f>
        <v>0</v>
      </c>
      <c r="F173" s="1454"/>
      <c r="G173" s="398">
        <v>0</v>
      </c>
      <c r="H173" s="1453">
        <f>IF(G170=0,0,G173/G170)</f>
        <v>0</v>
      </c>
      <c r="I173" s="1454"/>
    </row>
    <row r="174" spans="1:9" ht="17.25" customHeight="1">
      <c r="A174" s="1459"/>
      <c r="B174" s="385" t="s">
        <v>301</v>
      </c>
      <c r="C174" s="389" t="s">
        <v>236</v>
      </c>
      <c r="D174" s="376">
        <v>0</v>
      </c>
      <c r="E174" s="1453">
        <f>IF(D170=0,0,D174/D170)</f>
        <v>0</v>
      </c>
      <c r="F174" s="1454"/>
      <c r="G174" s="376">
        <v>0</v>
      </c>
      <c r="H174" s="1453">
        <f>IF(G170=0,0,G174/G170)</f>
        <v>0</v>
      </c>
      <c r="I174" s="1454"/>
    </row>
    <row r="175" spans="1:9" ht="16.5" customHeight="1">
      <c r="A175" s="1459"/>
      <c r="B175" s="385" t="s">
        <v>302</v>
      </c>
      <c r="C175" s="389" t="s">
        <v>236</v>
      </c>
      <c r="D175" s="376">
        <v>1130.8</v>
      </c>
      <c r="E175" s="1453">
        <f>IF(D170=0,0,D175/D170)</f>
        <v>0.7440403734677361</v>
      </c>
      <c r="F175" s="1454"/>
      <c r="G175" s="376">
        <f>D175</f>
        <v>1130.8</v>
      </c>
      <c r="H175" s="1453">
        <f>IF(G170=0,0,G175/G170)</f>
        <v>0.7425648299547553</v>
      </c>
      <c r="I175" s="1454"/>
    </row>
    <row r="176" spans="1:9" ht="15.75" customHeight="1">
      <c r="A176" s="1459"/>
      <c r="B176" s="385" t="s">
        <v>303</v>
      </c>
      <c r="C176" s="389" t="s">
        <v>236</v>
      </c>
      <c r="D176" s="376">
        <v>389.01</v>
      </c>
      <c r="E176" s="1453">
        <f>IF(D170=0,0,D176/D170)</f>
        <v>0.2559596265322639</v>
      </c>
      <c r="F176" s="1454"/>
      <c r="G176" s="376">
        <f>389.01+3.02</f>
        <v>392.03</v>
      </c>
      <c r="H176" s="1453">
        <f>IF(G170=0,0,G176/G170)</f>
        <v>0.2574351700452447</v>
      </c>
      <c r="I176" s="1454"/>
    </row>
    <row r="177" spans="1:9" ht="28.5">
      <c r="A177" s="1444">
        <v>18</v>
      </c>
      <c r="B177" s="385" t="s">
        <v>304</v>
      </c>
      <c r="C177" s="1445" t="s">
        <v>1732</v>
      </c>
      <c r="D177" s="1486">
        <f>SUM(D179:F183)</f>
        <v>120</v>
      </c>
      <c r="E177" s="1487"/>
      <c r="F177" s="1488"/>
      <c r="G177" s="1486">
        <f>SUM(G179:I183)</f>
        <v>147</v>
      </c>
      <c r="H177" s="1487"/>
      <c r="I177" s="1488"/>
    </row>
    <row r="178" spans="1:9" ht="15">
      <c r="A178" s="1444"/>
      <c r="B178" s="387" t="s">
        <v>1744</v>
      </c>
      <c r="C178" s="1446"/>
      <c r="D178" s="1489"/>
      <c r="E178" s="1490"/>
      <c r="F178" s="1491"/>
      <c r="G178" s="1489"/>
      <c r="H178" s="1490"/>
      <c r="I178" s="1491"/>
    </row>
    <row r="179" spans="1:9" ht="15">
      <c r="A179" s="1444"/>
      <c r="B179" s="387" t="s">
        <v>2125</v>
      </c>
      <c r="C179" s="388"/>
      <c r="D179" s="1477">
        <v>0</v>
      </c>
      <c r="E179" s="1478"/>
      <c r="F179" s="1479"/>
      <c r="G179" s="1477">
        <v>0</v>
      </c>
      <c r="H179" s="1478"/>
      <c r="I179" s="1479"/>
    </row>
    <row r="180" spans="1:9" ht="15">
      <c r="A180" s="1444"/>
      <c r="B180" s="387" t="s">
        <v>305</v>
      </c>
      <c r="C180" s="389" t="s">
        <v>1732</v>
      </c>
      <c r="D180" s="1470">
        <v>0</v>
      </c>
      <c r="E180" s="1471"/>
      <c r="F180" s="1472"/>
      <c r="G180" s="1470">
        <v>0</v>
      </c>
      <c r="H180" s="1471"/>
      <c r="I180" s="1472"/>
    </row>
    <row r="181" spans="1:9" ht="15">
      <c r="A181" s="1444"/>
      <c r="B181" s="387" t="s">
        <v>306</v>
      </c>
      <c r="C181" s="389" t="s">
        <v>1732</v>
      </c>
      <c r="D181" s="1470">
        <v>15</v>
      </c>
      <c r="E181" s="1471"/>
      <c r="F181" s="1472"/>
      <c r="G181" s="1470">
        <v>21</v>
      </c>
      <c r="H181" s="1471"/>
      <c r="I181" s="1472"/>
    </row>
    <row r="182" spans="1:9" ht="15">
      <c r="A182" s="1444"/>
      <c r="B182" s="387" t="s">
        <v>307</v>
      </c>
      <c r="C182" s="389" t="s">
        <v>1732</v>
      </c>
      <c r="D182" s="1470">
        <v>0</v>
      </c>
      <c r="E182" s="1471"/>
      <c r="F182" s="1472"/>
      <c r="G182" s="1470">
        <v>9</v>
      </c>
      <c r="H182" s="1471"/>
      <c r="I182" s="1472"/>
    </row>
    <row r="183" spans="1:9" ht="15">
      <c r="A183" s="1444"/>
      <c r="B183" s="387" t="s">
        <v>308</v>
      </c>
      <c r="C183" s="389" t="s">
        <v>1732</v>
      </c>
      <c r="D183" s="1470">
        <v>105</v>
      </c>
      <c r="E183" s="1471"/>
      <c r="F183" s="1472"/>
      <c r="G183" s="1470">
        <f>114+3</f>
        <v>117</v>
      </c>
      <c r="H183" s="1471"/>
      <c r="I183" s="1472"/>
    </row>
    <row r="184" spans="1:9" ht="12.75">
      <c r="A184" s="113"/>
      <c r="B184" s="113"/>
      <c r="C184" s="113"/>
      <c r="D184" s="113"/>
      <c r="E184" s="113"/>
      <c r="F184" s="113"/>
      <c r="G184" s="113"/>
      <c r="H184" s="113"/>
      <c r="I184" s="113"/>
    </row>
    <row r="185" spans="1:9" ht="12.75">
      <c r="A185" s="113"/>
      <c r="B185" s="113"/>
      <c r="C185" s="113"/>
      <c r="D185" s="113"/>
      <c r="E185" s="113"/>
      <c r="F185" s="113"/>
      <c r="G185" s="113"/>
      <c r="H185" s="113"/>
      <c r="I185" s="113"/>
    </row>
    <row r="186" spans="1:9" ht="12.75">
      <c r="A186" s="113"/>
      <c r="B186" s="113"/>
      <c r="C186" s="113"/>
      <c r="D186" s="113"/>
      <c r="E186" s="113"/>
      <c r="F186" s="113"/>
      <c r="G186" s="113"/>
      <c r="H186" s="113"/>
      <c r="I186" s="113"/>
    </row>
    <row r="187" spans="1:9" ht="12.75">
      <c r="A187" s="113"/>
      <c r="B187" s="113"/>
      <c r="C187" s="113"/>
      <c r="D187" s="113"/>
      <c r="E187" s="113"/>
      <c r="F187" s="113"/>
      <c r="G187" s="113"/>
      <c r="H187" s="113"/>
      <c r="I187" s="113"/>
    </row>
    <row r="188" spans="1:9" ht="12.75">
      <c r="A188" s="113"/>
      <c r="B188" s="113"/>
      <c r="C188" s="113"/>
      <c r="D188" s="113"/>
      <c r="E188" s="113"/>
      <c r="F188" s="113"/>
      <c r="G188" s="113"/>
      <c r="H188" s="113"/>
      <c r="I188" s="113"/>
    </row>
    <row r="189" spans="1:9" ht="12.75">
      <c r="A189" s="113"/>
      <c r="B189" s="113"/>
      <c r="C189" s="113"/>
      <c r="D189" s="113"/>
      <c r="E189" s="113"/>
      <c r="F189" s="113"/>
      <c r="G189" s="113"/>
      <c r="H189" s="113"/>
      <c r="I189" s="113"/>
    </row>
    <row r="190" spans="1:9" ht="12.75">
      <c r="A190" s="113"/>
      <c r="B190" s="113"/>
      <c r="C190" s="113"/>
      <c r="D190" s="113"/>
      <c r="E190" s="113"/>
      <c r="F190" s="113"/>
      <c r="G190" s="113"/>
      <c r="H190" s="113"/>
      <c r="I190" s="113"/>
    </row>
    <row r="191" spans="1:9" ht="12.75">
      <c r="A191" s="113"/>
      <c r="B191" s="113"/>
      <c r="C191" s="113"/>
      <c r="D191" s="113"/>
      <c r="E191" s="113"/>
      <c r="F191" s="113"/>
      <c r="G191" s="113"/>
      <c r="H191" s="113"/>
      <c r="I191" s="113"/>
    </row>
    <row r="192" spans="1:9" ht="12.75">
      <c r="A192" s="113"/>
      <c r="B192" s="113"/>
      <c r="C192" s="113"/>
      <c r="D192" s="113"/>
      <c r="E192" s="113"/>
      <c r="F192" s="113"/>
      <c r="G192" s="113"/>
      <c r="H192" s="113"/>
      <c r="I192" s="113"/>
    </row>
    <row r="193" spans="1:9" ht="12.75">
      <c r="A193" s="113"/>
      <c r="B193" s="113"/>
      <c r="C193" s="113"/>
      <c r="D193" s="113"/>
      <c r="E193" s="113"/>
      <c r="F193" s="113"/>
      <c r="G193" s="113"/>
      <c r="H193" s="113"/>
      <c r="I193" s="113"/>
    </row>
    <row r="194" spans="1:9" ht="12.75">
      <c r="A194" s="113"/>
      <c r="B194" s="113"/>
      <c r="C194" s="113"/>
      <c r="D194" s="113"/>
      <c r="E194" s="113"/>
      <c r="F194" s="113"/>
      <c r="G194" s="113"/>
      <c r="H194" s="113"/>
      <c r="I194" s="113"/>
    </row>
    <row r="195" spans="1:9" ht="12.75">
      <c r="A195" s="113"/>
      <c r="B195" s="113"/>
      <c r="C195" s="113"/>
      <c r="D195" s="113"/>
      <c r="E195" s="113"/>
      <c r="F195" s="113"/>
      <c r="G195" s="113"/>
      <c r="H195" s="113"/>
      <c r="I195" s="113"/>
    </row>
    <row r="196" spans="1:9" ht="12.75">
      <c r="A196" s="113"/>
      <c r="B196" s="113"/>
      <c r="C196" s="113"/>
      <c r="D196" s="113"/>
      <c r="E196" s="113"/>
      <c r="F196" s="113"/>
      <c r="G196" s="113"/>
      <c r="H196" s="113"/>
      <c r="I196" s="113"/>
    </row>
    <row r="197" spans="1:9" ht="12.75">
      <c r="A197" s="113"/>
      <c r="B197" s="113"/>
      <c r="C197" s="113"/>
      <c r="D197" s="113"/>
      <c r="E197" s="113"/>
      <c r="F197" s="113"/>
      <c r="G197" s="113"/>
      <c r="H197" s="113"/>
      <c r="I197" s="113"/>
    </row>
    <row r="198" spans="1:9" ht="12.75">
      <c r="A198" s="113"/>
      <c r="B198" s="113"/>
      <c r="C198" s="113"/>
      <c r="D198" s="113"/>
      <c r="E198" s="113"/>
      <c r="F198" s="113"/>
      <c r="G198" s="113"/>
      <c r="H198" s="113"/>
      <c r="I198" s="113"/>
    </row>
    <row r="199" spans="1:9" ht="12.75">
      <c r="A199" s="113"/>
      <c r="B199" s="113"/>
      <c r="C199" s="113"/>
      <c r="D199" s="113"/>
      <c r="E199" s="113"/>
      <c r="F199" s="113"/>
      <c r="G199" s="113"/>
      <c r="H199" s="113"/>
      <c r="I199" s="113"/>
    </row>
    <row r="200" spans="1:9" ht="12.75">
      <c r="A200" s="114"/>
      <c r="B200" s="114"/>
      <c r="C200" s="114"/>
      <c r="D200" s="114"/>
      <c r="E200" s="114"/>
      <c r="F200" s="114"/>
      <c r="G200" s="114"/>
      <c r="H200" s="114"/>
      <c r="I200" s="114"/>
    </row>
    <row r="201" spans="1:9" ht="12.75">
      <c r="A201" s="114"/>
      <c r="B201" s="114"/>
      <c r="C201" s="114"/>
      <c r="D201" s="114"/>
      <c r="E201" s="114"/>
      <c r="F201" s="114"/>
      <c r="G201" s="114"/>
      <c r="H201" s="114"/>
      <c r="I201" s="114"/>
    </row>
    <row r="202" spans="1:9" ht="12.75">
      <c r="A202" s="114"/>
      <c r="B202" s="114"/>
      <c r="C202" s="114"/>
      <c r="D202" s="114"/>
      <c r="E202" s="114"/>
      <c r="F202" s="114"/>
      <c r="G202" s="114"/>
      <c r="H202" s="114"/>
      <c r="I202" s="114"/>
    </row>
    <row r="203" spans="1:9" ht="12.75">
      <c r="A203" s="114"/>
      <c r="B203" s="114"/>
      <c r="C203" s="114"/>
      <c r="D203" s="114"/>
      <c r="E203" s="114"/>
      <c r="F203" s="114"/>
      <c r="G203" s="114"/>
      <c r="H203" s="114"/>
      <c r="I203" s="114"/>
    </row>
    <row r="204" spans="1:9" ht="12.75">
      <c r="A204" s="114"/>
      <c r="B204" s="114"/>
      <c r="C204" s="114"/>
      <c r="D204" s="114"/>
      <c r="E204" s="114"/>
      <c r="F204" s="114"/>
      <c r="G204" s="114"/>
      <c r="H204" s="114"/>
      <c r="I204" s="114"/>
    </row>
    <row r="205" spans="1:9" ht="12.75">
      <c r="A205" s="114"/>
      <c r="B205" s="114"/>
      <c r="C205" s="114"/>
      <c r="D205" s="114"/>
      <c r="E205" s="114"/>
      <c r="F205" s="114"/>
      <c r="G205" s="114"/>
      <c r="H205" s="114"/>
      <c r="I205" s="114"/>
    </row>
    <row r="206" spans="1:9" ht="12.75">
      <c r="A206" s="114"/>
      <c r="B206" s="114"/>
      <c r="C206" s="114"/>
      <c r="D206" s="114"/>
      <c r="E206" s="114"/>
      <c r="F206" s="114"/>
      <c r="G206" s="114"/>
      <c r="H206" s="114"/>
      <c r="I206" s="114"/>
    </row>
    <row r="207" spans="1:9" ht="12.75">
      <c r="A207" s="114"/>
      <c r="B207" s="114"/>
      <c r="C207" s="114"/>
      <c r="D207" s="114"/>
      <c r="E207" s="114"/>
      <c r="F207" s="114"/>
      <c r="G207" s="114"/>
      <c r="H207" s="114"/>
      <c r="I207" s="114"/>
    </row>
    <row r="208" spans="1:9" ht="12.75">
      <c r="A208" s="114"/>
      <c r="B208" s="114"/>
      <c r="C208" s="114"/>
      <c r="D208" s="114"/>
      <c r="E208" s="114"/>
      <c r="F208" s="114"/>
      <c r="G208" s="114"/>
      <c r="H208" s="114"/>
      <c r="I208" s="114"/>
    </row>
    <row r="209" spans="1:9" ht="12.75">
      <c r="A209" s="114"/>
      <c r="B209" s="114"/>
      <c r="C209" s="114"/>
      <c r="D209" s="114"/>
      <c r="E209" s="114"/>
      <c r="F209" s="114"/>
      <c r="G209" s="114"/>
      <c r="H209" s="114"/>
      <c r="I209" s="114"/>
    </row>
    <row r="210" spans="1:9" ht="12.75">
      <c r="A210" s="114"/>
      <c r="B210" s="114"/>
      <c r="C210" s="114"/>
      <c r="D210" s="114"/>
      <c r="E210" s="114"/>
      <c r="F210" s="114"/>
      <c r="G210" s="114"/>
      <c r="H210" s="114"/>
      <c r="I210" s="114"/>
    </row>
    <row r="211" spans="1:9" ht="12.75">
      <c r="A211" s="114"/>
      <c r="B211" s="114"/>
      <c r="C211" s="114"/>
      <c r="D211" s="114"/>
      <c r="E211" s="114"/>
      <c r="F211" s="114"/>
      <c r="G211" s="114"/>
      <c r="H211" s="114"/>
      <c r="I211" s="114"/>
    </row>
    <row r="212" spans="1:9" ht="12.75">
      <c r="A212" s="114"/>
      <c r="B212" s="114"/>
      <c r="C212" s="114"/>
      <c r="D212" s="114"/>
      <c r="E212" s="114"/>
      <c r="F212" s="114"/>
      <c r="G212" s="114"/>
      <c r="H212" s="114"/>
      <c r="I212" s="114"/>
    </row>
    <row r="213" spans="1:9" ht="12.75">
      <c r="A213" s="114"/>
      <c r="B213" s="114"/>
      <c r="C213" s="114"/>
      <c r="D213" s="114"/>
      <c r="E213" s="114"/>
      <c r="F213" s="114"/>
      <c r="G213" s="114"/>
      <c r="H213" s="114"/>
      <c r="I213" s="114"/>
    </row>
    <row r="214" spans="1:9" ht="12.75">
      <c r="A214" s="114"/>
      <c r="B214" s="114"/>
      <c r="C214" s="114"/>
      <c r="D214" s="114"/>
      <c r="E214" s="114"/>
      <c r="F214" s="114"/>
      <c r="G214" s="114"/>
      <c r="H214" s="114"/>
      <c r="I214" s="114"/>
    </row>
    <row r="215" spans="1:9" ht="12.75">
      <c r="A215" s="114"/>
      <c r="B215" s="114"/>
      <c r="C215" s="114"/>
      <c r="D215" s="114"/>
      <c r="E215" s="114"/>
      <c r="F215" s="114"/>
      <c r="G215" s="114"/>
      <c r="H215" s="114"/>
      <c r="I215" s="114"/>
    </row>
    <row r="216" spans="1:9" ht="12.75">
      <c r="A216" s="114"/>
      <c r="B216" s="114"/>
      <c r="C216" s="114"/>
      <c r="D216" s="114"/>
      <c r="E216" s="114"/>
      <c r="F216" s="114"/>
      <c r="G216" s="114"/>
      <c r="H216" s="114"/>
      <c r="I216" s="114"/>
    </row>
    <row r="217" spans="1:9" ht="12.75">
      <c r="A217" s="114"/>
      <c r="B217" s="114"/>
      <c r="C217" s="114"/>
      <c r="D217" s="114"/>
      <c r="E217" s="114"/>
      <c r="F217" s="114"/>
      <c r="G217" s="114"/>
      <c r="H217" s="114"/>
      <c r="I217" s="114"/>
    </row>
  </sheetData>
  <sheetProtection/>
  <mergeCells count="370">
    <mergeCell ref="D183:F183"/>
    <mergeCell ref="G183:I183"/>
    <mergeCell ref="D180:F180"/>
    <mergeCell ref="G180:I180"/>
    <mergeCell ref="D181:F181"/>
    <mergeCell ref="G181:I181"/>
    <mergeCell ref="D182:F182"/>
    <mergeCell ref="G182:I182"/>
    <mergeCell ref="E175:F175"/>
    <mergeCell ref="H175:I175"/>
    <mergeCell ref="E176:F176"/>
    <mergeCell ref="H176:I176"/>
    <mergeCell ref="A177:A183"/>
    <mergeCell ref="C177:C178"/>
    <mergeCell ref="D177:F178"/>
    <mergeCell ref="G177:I178"/>
    <mergeCell ref="D179:F179"/>
    <mergeCell ref="G179:I179"/>
    <mergeCell ref="E171:F172"/>
    <mergeCell ref="G171:G172"/>
    <mergeCell ref="H171:I172"/>
    <mergeCell ref="E173:F173"/>
    <mergeCell ref="H173:I173"/>
    <mergeCell ref="E174:F174"/>
    <mergeCell ref="H174:I174"/>
    <mergeCell ref="A168:A169"/>
    <mergeCell ref="D168:F168"/>
    <mergeCell ref="G168:I168"/>
    <mergeCell ref="E169:F169"/>
    <mergeCell ref="H169:I169"/>
    <mergeCell ref="A170:A176"/>
    <mergeCell ref="D170:F170"/>
    <mergeCell ref="G170:I170"/>
    <mergeCell ref="C171:C172"/>
    <mergeCell ref="D171:D172"/>
    <mergeCell ref="H163:I163"/>
    <mergeCell ref="E164:F164"/>
    <mergeCell ref="H164:I164"/>
    <mergeCell ref="E165:F165"/>
    <mergeCell ref="H165:I165"/>
    <mergeCell ref="A166:A167"/>
    <mergeCell ref="D166:F166"/>
    <mergeCell ref="G166:I166"/>
    <mergeCell ref="E167:F167"/>
    <mergeCell ref="H167:I167"/>
    <mergeCell ref="A159:A160"/>
    <mergeCell ref="D159:F159"/>
    <mergeCell ref="G159:I159"/>
    <mergeCell ref="E160:F160"/>
    <mergeCell ref="H160:I160"/>
    <mergeCell ref="A161:A165"/>
    <mergeCell ref="C161:C162"/>
    <mergeCell ref="D161:F162"/>
    <mergeCell ref="G161:I162"/>
    <mergeCell ref="E163:F163"/>
    <mergeCell ref="E156:F156"/>
    <mergeCell ref="H156:I156"/>
    <mergeCell ref="E157:F157"/>
    <mergeCell ref="H157:I157"/>
    <mergeCell ref="E158:F158"/>
    <mergeCell ref="H158:I158"/>
    <mergeCell ref="H152:I152"/>
    <mergeCell ref="E153:F153"/>
    <mergeCell ref="H153:I153"/>
    <mergeCell ref="E154:F154"/>
    <mergeCell ref="H154:I154"/>
    <mergeCell ref="E155:F155"/>
    <mergeCell ref="H155:I155"/>
    <mergeCell ref="D148:F148"/>
    <mergeCell ref="G148:I148"/>
    <mergeCell ref="A149:A158"/>
    <mergeCell ref="E149:F149"/>
    <mergeCell ref="H149:I149"/>
    <mergeCell ref="D150:D151"/>
    <mergeCell ref="E150:F151"/>
    <mergeCell ref="G150:G151"/>
    <mergeCell ref="H150:I151"/>
    <mergeCell ref="E152:F152"/>
    <mergeCell ref="D145:F145"/>
    <mergeCell ref="G145:I145"/>
    <mergeCell ref="D146:F146"/>
    <mergeCell ref="G146:I146"/>
    <mergeCell ref="D147:F147"/>
    <mergeCell ref="G147:I147"/>
    <mergeCell ref="E140:F140"/>
    <mergeCell ref="H140:I140"/>
    <mergeCell ref="E141:F141"/>
    <mergeCell ref="H141:I141"/>
    <mergeCell ref="A142:A148"/>
    <mergeCell ref="C142:C143"/>
    <mergeCell ref="D142:F143"/>
    <mergeCell ref="G142:I143"/>
    <mergeCell ref="D144:F144"/>
    <mergeCell ref="G144:I144"/>
    <mergeCell ref="E137:F137"/>
    <mergeCell ref="H137:I137"/>
    <mergeCell ref="E138:F138"/>
    <mergeCell ref="H138:I138"/>
    <mergeCell ref="E139:F139"/>
    <mergeCell ref="H139:I139"/>
    <mergeCell ref="D133:F133"/>
    <mergeCell ref="G133:I133"/>
    <mergeCell ref="D134:F134"/>
    <mergeCell ref="G134:I134"/>
    <mergeCell ref="A135:A141"/>
    <mergeCell ref="C135:C136"/>
    <mergeCell ref="D135:D136"/>
    <mergeCell ref="E135:F136"/>
    <mergeCell ref="G135:G136"/>
    <mergeCell ref="H135:I136"/>
    <mergeCell ref="D130:F130"/>
    <mergeCell ref="G130:I130"/>
    <mergeCell ref="D131:F131"/>
    <mergeCell ref="G131:I131"/>
    <mergeCell ref="D132:F132"/>
    <mergeCell ref="G132:I132"/>
    <mergeCell ref="D127:F127"/>
    <mergeCell ref="G127:I127"/>
    <mergeCell ref="D128:F128"/>
    <mergeCell ref="G128:I128"/>
    <mergeCell ref="D129:F129"/>
    <mergeCell ref="G129:I129"/>
    <mergeCell ref="D124:F124"/>
    <mergeCell ref="G124:I124"/>
    <mergeCell ref="D125:F125"/>
    <mergeCell ref="G125:I125"/>
    <mergeCell ref="D126:F126"/>
    <mergeCell ref="G126:I126"/>
    <mergeCell ref="D121:F121"/>
    <mergeCell ref="G121:I121"/>
    <mergeCell ref="D122:F122"/>
    <mergeCell ref="G122:I122"/>
    <mergeCell ref="D123:F123"/>
    <mergeCell ref="G123:I123"/>
    <mergeCell ref="D118:F118"/>
    <mergeCell ref="G118:I118"/>
    <mergeCell ref="D119:F119"/>
    <mergeCell ref="G119:I119"/>
    <mergeCell ref="D120:F120"/>
    <mergeCell ref="G120:I120"/>
    <mergeCell ref="D115:F115"/>
    <mergeCell ref="G115:I115"/>
    <mergeCell ref="D116:F116"/>
    <mergeCell ref="G116:I116"/>
    <mergeCell ref="D117:F117"/>
    <mergeCell ref="G117:I117"/>
    <mergeCell ref="D112:F112"/>
    <mergeCell ref="G112:I112"/>
    <mergeCell ref="D113:F113"/>
    <mergeCell ref="G113:I113"/>
    <mergeCell ref="D114:F114"/>
    <mergeCell ref="G114:I114"/>
    <mergeCell ref="D109:F109"/>
    <mergeCell ref="G109:I109"/>
    <mergeCell ref="D110:F110"/>
    <mergeCell ref="G110:I110"/>
    <mergeCell ref="D111:F111"/>
    <mergeCell ref="G111:I111"/>
    <mergeCell ref="D106:F106"/>
    <mergeCell ref="G106:I106"/>
    <mergeCell ref="D107:F107"/>
    <mergeCell ref="G107:I107"/>
    <mergeCell ref="D108:F108"/>
    <mergeCell ref="G108:I108"/>
    <mergeCell ref="D103:F103"/>
    <mergeCell ref="G103:I103"/>
    <mergeCell ref="D104:F104"/>
    <mergeCell ref="G104:I104"/>
    <mergeCell ref="D105:F105"/>
    <mergeCell ref="G105:I105"/>
    <mergeCell ref="D100:F100"/>
    <mergeCell ref="G100:I100"/>
    <mergeCell ref="D101:F101"/>
    <mergeCell ref="G101:I101"/>
    <mergeCell ref="D102:F102"/>
    <mergeCell ref="G102:I102"/>
    <mergeCell ref="D97:F97"/>
    <mergeCell ref="G97:I97"/>
    <mergeCell ref="D98:F98"/>
    <mergeCell ref="G98:I98"/>
    <mergeCell ref="D99:F99"/>
    <mergeCell ref="G99:I99"/>
    <mergeCell ref="D92:F92"/>
    <mergeCell ref="G92:I92"/>
    <mergeCell ref="A93:A134"/>
    <mergeCell ref="C93:C94"/>
    <mergeCell ref="D93:F94"/>
    <mergeCell ref="G93:I94"/>
    <mergeCell ref="D95:F95"/>
    <mergeCell ref="G95:I95"/>
    <mergeCell ref="D96:F96"/>
    <mergeCell ref="G96:I96"/>
    <mergeCell ref="D89:F89"/>
    <mergeCell ref="G89:I89"/>
    <mergeCell ref="D90:F90"/>
    <mergeCell ref="G90:I90"/>
    <mergeCell ref="D91:F91"/>
    <mergeCell ref="G91:I91"/>
    <mergeCell ref="D86:F86"/>
    <mergeCell ref="G86:I86"/>
    <mergeCell ref="D87:F87"/>
    <mergeCell ref="G87:I87"/>
    <mergeCell ref="D88:F88"/>
    <mergeCell ref="G88:I88"/>
    <mergeCell ref="A82:A92"/>
    <mergeCell ref="D82:F82"/>
    <mergeCell ref="G82:I82"/>
    <mergeCell ref="C83:C84"/>
    <mergeCell ref="D83:D84"/>
    <mergeCell ref="E83:F84"/>
    <mergeCell ref="G83:G84"/>
    <mergeCell ref="H83:I84"/>
    <mergeCell ref="D85:F85"/>
    <mergeCell ref="G85:I85"/>
    <mergeCell ref="D79:F79"/>
    <mergeCell ref="G79:I79"/>
    <mergeCell ref="D80:F80"/>
    <mergeCell ref="G80:I80"/>
    <mergeCell ref="D81:F81"/>
    <mergeCell ref="G81:I81"/>
    <mergeCell ref="D76:F76"/>
    <mergeCell ref="G76:I76"/>
    <mergeCell ref="D77:F77"/>
    <mergeCell ref="G77:I77"/>
    <mergeCell ref="D78:F78"/>
    <mergeCell ref="G78:I78"/>
    <mergeCell ref="G72:G73"/>
    <mergeCell ref="H72:I73"/>
    <mergeCell ref="D74:F74"/>
    <mergeCell ref="G74:I74"/>
    <mergeCell ref="D75:F75"/>
    <mergeCell ref="G75:I75"/>
    <mergeCell ref="D69:F69"/>
    <mergeCell ref="G69:I69"/>
    <mergeCell ref="D70:F70"/>
    <mergeCell ref="G70:I70"/>
    <mergeCell ref="A71:A81"/>
    <mergeCell ref="D71:F71"/>
    <mergeCell ref="G71:I71"/>
    <mergeCell ref="C72:C73"/>
    <mergeCell ref="D72:D73"/>
    <mergeCell ref="E72:F73"/>
    <mergeCell ref="D66:F66"/>
    <mergeCell ref="G66:I66"/>
    <mergeCell ref="D67:F67"/>
    <mergeCell ref="G67:I67"/>
    <mergeCell ref="D68:F68"/>
    <mergeCell ref="G68:I68"/>
    <mergeCell ref="H61:I62"/>
    <mergeCell ref="D63:F63"/>
    <mergeCell ref="G63:I63"/>
    <mergeCell ref="D64:F64"/>
    <mergeCell ref="G64:I64"/>
    <mergeCell ref="D65:F65"/>
    <mergeCell ref="G65:I65"/>
    <mergeCell ref="G50:G51"/>
    <mergeCell ref="H50:H51"/>
    <mergeCell ref="I50:I51"/>
    <mergeCell ref="A60:A70"/>
    <mergeCell ref="D60:F60"/>
    <mergeCell ref="G60:I60"/>
    <mergeCell ref="C61:C62"/>
    <mergeCell ref="D61:D62"/>
    <mergeCell ref="E61:F62"/>
    <mergeCell ref="G61:G62"/>
    <mergeCell ref="G47:I47"/>
    <mergeCell ref="D48:F48"/>
    <mergeCell ref="G48:I48"/>
    <mergeCell ref="A49:A59"/>
    <mergeCell ref="E49:F49"/>
    <mergeCell ref="H49:I49"/>
    <mergeCell ref="C50:C51"/>
    <mergeCell ref="D50:D51"/>
    <mergeCell ref="E50:E51"/>
    <mergeCell ref="F50:F51"/>
    <mergeCell ref="A43:A48"/>
    <mergeCell ref="D43:F43"/>
    <mergeCell ref="G43:I43"/>
    <mergeCell ref="E44:F44"/>
    <mergeCell ref="H44:I44"/>
    <mergeCell ref="D45:F45"/>
    <mergeCell ref="G45:I45"/>
    <mergeCell ref="E46:F46"/>
    <mergeCell ref="H46:I46"/>
    <mergeCell ref="D47:F47"/>
    <mergeCell ref="E40:F40"/>
    <mergeCell ref="H40:I40"/>
    <mergeCell ref="E41:F41"/>
    <mergeCell ref="H41:I41"/>
    <mergeCell ref="E42:F42"/>
    <mergeCell ref="H42:I42"/>
    <mergeCell ref="E36:F36"/>
    <mergeCell ref="H36:I36"/>
    <mergeCell ref="A37:A42"/>
    <mergeCell ref="C37:C38"/>
    <mergeCell ref="D37:D38"/>
    <mergeCell ref="E37:F38"/>
    <mergeCell ref="G37:G38"/>
    <mergeCell ref="H37:I38"/>
    <mergeCell ref="E39:F39"/>
    <mergeCell ref="H39:I39"/>
    <mergeCell ref="E33:F33"/>
    <mergeCell ref="H33:I33"/>
    <mergeCell ref="E34:F34"/>
    <mergeCell ref="H34:I34"/>
    <mergeCell ref="E35:F35"/>
    <mergeCell ref="H35:I35"/>
    <mergeCell ref="E30:F30"/>
    <mergeCell ref="H30:I30"/>
    <mergeCell ref="E31:F31"/>
    <mergeCell ref="H31:I31"/>
    <mergeCell ref="E32:F32"/>
    <mergeCell ref="H32:I32"/>
    <mergeCell ref="E27:F27"/>
    <mergeCell ref="H27:I27"/>
    <mergeCell ref="E28:F28"/>
    <mergeCell ref="H28:I28"/>
    <mergeCell ref="E29:F29"/>
    <mergeCell ref="H29:I29"/>
    <mergeCell ref="E22:F22"/>
    <mergeCell ref="H22:I22"/>
    <mergeCell ref="A23:A36"/>
    <mergeCell ref="C23:C24"/>
    <mergeCell ref="D23:F24"/>
    <mergeCell ref="G23:I24"/>
    <mergeCell ref="E25:F25"/>
    <mergeCell ref="H25:I25"/>
    <mergeCell ref="E26:F26"/>
    <mergeCell ref="H26:I26"/>
    <mergeCell ref="D19:F19"/>
    <mergeCell ref="G19:I19"/>
    <mergeCell ref="D20:F20"/>
    <mergeCell ref="G20:I20"/>
    <mergeCell ref="E21:F21"/>
    <mergeCell ref="H21:I21"/>
    <mergeCell ref="E16:F16"/>
    <mergeCell ref="H16:I16"/>
    <mergeCell ref="E17:F17"/>
    <mergeCell ref="H17:I17"/>
    <mergeCell ref="E18:F18"/>
    <mergeCell ref="H18:I18"/>
    <mergeCell ref="E13:F13"/>
    <mergeCell ref="H13:I13"/>
    <mergeCell ref="E14:F14"/>
    <mergeCell ref="H14:I14"/>
    <mergeCell ref="E15:F15"/>
    <mergeCell ref="H15:I15"/>
    <mergeCell ref="E10:F10"/>
    <mergeCell ref="H10:I10"/>
    <mergeCell ref="E11:F11"/>
    <mergeCell ref="H11:I11"/>
    <mergeCell ref="E12:F12"/>
    <mergeCell ref="H12:I12"/>
    <mergeCell ref="H6:I6"/>
    <mergeCell ref="E7:F7"/>
    <mergeCell ref="H7:I7"/>
    <mergeCell ref="E8:F8"/>
    <mergeCell ref="H8:I8"/>
    <mergeCell ref="E9:F9"/>
    <mergeCell ref="H9:I9"/>
    <mergeCell ref="A1:I1"/>
    <mergeCell ref="D2:F2"/>
    <mergeCell ref="G2:I2"/>
    <mergeCell ref="D3:F3"/>
    <mergeCell ref="G3:I3"/>
    <mergeCell ref="A4:A22"/>
    <mergeCell ref="C4:C5"/>
    <mergeCell ref="D4:F5"/>
    <mergeCell ref="G4:I5"/>
    <mergeCell ref="E6:F6"/>
  </mergeCells>
  <printOptions/>
  <pageMargins left="0.35433070866141736" right="0.15748031496062992" top="0.35433070866141736" bottom="0.31496062992125984" header="0.2755905511811024" footer="0.3937007874015748"/>
  <pageSetup fitToHeight="3" horizontalDpi="600" verticalDpi="600" orientation="portrait" paperSize="9" scale="83" r:id="rId3"/>
  <rowBreaks count="3" manualBreakCount="3">
    <brk id="48" max="8" man="1"/>
    <brk id="92" max="8" man="1"/>
    <brk id="148" max="8" man="1"/>
  </rowBreaks>
  <legacyDrawing r:id="rId2"/>
</worksheet>
</file>

<file path=xl/worksheets/sheet7.xml><?xml version="1.0" encoding="utf-8"?>
<worksheet xmlns="http://schemas.openxmlformats.org/spreadsheetml/2006/main" xmlns:r="http://schemas.openxmlformats.org/officeDocument/2006/relationships">
  <dimension ref="A1:DZ57"/>
  <sheetViews>
    <sheetView view="pageBreakPreview" zoomScale="75" zoomScaleNormal="75" zoomScaleSheetLayoutView="75" zoomScalePageLayoutView="0" workbookViewId="0" topLeftCell="G1">
      <selection activeCell="J15" sqref="J15"/>
    </sheetView>
  </sheetViews>
  <sheetFormatPr defaultColWidth="9.00390625" defaultRowHeight="12.75" outlineLevelCol="1"/>
  <cols>
    <col min="1" max="1" width="12.625" style="34" customWidth="1"/>
    <col min="2" max="2" width="14.00390625" style="34" customWidth="1"/>
    <col min="3" max="3" width="17.00390625" style="34" customWidth="1"/>
    <col min="4" max="4" width="16.00390625" style="34" customWidth="1"/>
    <col min="5" max="5" width="15.625" style="34" hidden="1" customWidth="1" outlineLevel="1"/>
    <col min="6" max="6" width="20.375" style="34" customWidth="1" collapsed="1"/>
    <col min="7" max="7" width="13.125" style="34" customWidth="1"/>
    <col min="8" max="8" width="21.25390625" style="34" hidden="1" customWidth="1" outlineLevel="1"/>
    <col min="9" max="9" width="14.125" style="34" customWidth="1" collapsed="1"/>
    <col min="10" max="10" width="15.875" style="34" customWidth="1"/>
    <col min="11" max="11" width="14.375" style="34" customWidth="1"/>
    <col min="12" max="12" width="19.375" style="34" customWidth="1"/>
    <col min="13" max="13" width="13.375" style="34" customWidth="1"/>
    <col min="14" max="14" width="11.625" style="34" customWidth="1"/>
    <col min="15" max="15" width="12.75390625" style="34" customWidth="1"/>
    <col min="16" max="16" width="13.125" style="34" customWidth="1"/>
    <col min="17" max="17" width="11.00390625" style="34" customWidth="1"/>
    <col min="18" max="19" width="12.75390625" style="34" customWidth="1"/>
    <col min="20" max="20" width="19.00390625" style="34" hidden="1" customWidth="1" outlineLevel="1"/>
    <col min="21" max="21" width="25.25390625" style="34" hidden="1" customWidth="1" outlineLevel="1"/>
    <col min="22" max="22" width="26.875" style="34" hidden="1" customWidth="1" outlineLevel="1"/>
    <col min="23" max="23" width="2.625" style="34" customWidth="1" collapsed="1"/>
    <col min="24" max="24" width="12.75390625" style="34" customWidth="1"/>
    <col min="25" max="25" width="20.75390625" style="34" customWidth="1"/>
    <col min="26" max="26" width="10.375" style="34" customWidth="1"/>
    <col min="27" max="27" width="10.625" style="34" customWidth="1"/>
    <col min="28" max="28" width="11.625" style="34" customWidth="1"/>
    <col min="29" max="29" width="24.375" style="34" hidden="1" customWidth="1" outlineLevel="1"/>
    <col min="30" max="30" width="13.875" style="34" customWidth="1" collapsed="1"/>
    <col min="31" max="31" width="12.25390625" style="34" customWidth="1"/>
    <col min="32" max="32" width="11.625" style="34" customWidth="1"/>
    <col min="33" max="33" width="11.125" style="34" customWidth="1"/>
    <col min="34" max="34" width="18.00390625" style="34" hidden="1" customWidth="1" outlineLevel="1"/>
    <col min="35" max="35" width="17.00390625" style="34" customWidth="1" collapsed="1"/>
    <col min="36" max="36" width="10.75390625" style="34" customWidth="1"/>
    <col min="37" max="37" width="19.375" style="34" customWidth="1"/>
    <col min="38" max="38" width="11.25390625" style="34" customWidth="1"/>
    <col min="39" max="39" width="11.125" style="34" customWidth="1"/>
    <col min="40" max="40" width="21.75390625" style="34" hidden="1" customWidth="1" outlineLevel="1"/>
    <col min="41" max="41" width="16.625" style="34" hidden="1" customWidth="1" outlineLevel="1"/>
    <col min="42" max="42" width="9.125" style="34" customWidth="1" collapsed="1"/>
    <col min="43" max="43" width="9.125" style="34" customWidth="1"/>
    <col min="44" max="44" width="16.875" style="34" customWidth="1"/>
    <col min="45" max="45" width="16.625" style="34" customWidth="1"/>
    <col min="46" max="16384" width="9.125" style="34" customWidth="1"/>
  </cols>
  <sheetData>
    <row r="1" spans="1:42" s="37" customFormat="1" ht="18.75">
      <c r="A1" s="1501" t="s">
        <v>2134</v>
      </c>
      <c r="B1" s="1501"/>
      <c r="C1" s="1501"/>
      <c r="D1" s="1501"/>
      <c r="E1" s="1501"/>
      <c r="F1" s="1501"/>
      <c r="G1" s="1501"/>
      <c r="H1" s="1501"/>
      <c r="I1" s="1501"/>
      <c r="J1" s="1501"/>
      <c r="K1" s="1501"/>
      <c r="L1" s="1501"/>
      <c r="M1" s="1501"/>
      <c r="N1" s="1501"/>
      <c r="O1" s="1501"/>
      <c r="P1" s="1501"/>
      <c r="Q1" s="1501"/>
      <c r="R1" s="1501"/>
      <c r="S1" s="1501"/>
      <c r="T1" s="399"/>
      <c r="U1" s="399"/>
      <c r="V1" s="399"/>
      <c r="W1" s="399"/>
      <c r="X1" s="399"/>
      <c r="Y1" s="399"/>
      <c r="Z1" s="399"/>
      <c r="AA1" s="399"/>
      <c r="AB1" s="400"/>
      <c r="AC1" s="400"/>
      <c r="AD1" s="400"/>
      <c r="AE1" s="400"/>
      <c r="AF1" s="400"/>
      <c r="AG1" s="401"/>
      <c r="AH1" s="401"/>
      <c r="AI1" s="401"/>
      <c r="AJ1" s="401"/>
      <c r="AK1" s="401"/>
      <c r="AL1" s="401"/>
      <c r="AM1" s="401"/>
      <c r="AN1" s="401"/>
      <c r="AO1" s="401"/>
      <c r="AP1" s="401"/>
    </row>
    <row r="2" spans="1:42" ht="12.75">
      <c r="A2" s="402"/>
      <c r="B2" s="402"/>
      <c r="C2" s="402"/>
      <c r="D2" s="402"/>
      <c r="E2" s="402"/>
      <c r="F2" s="402"/>
      <c r="G2" s="402"/>
      <c r="H2" s="402"/>
      <c r="I2" s="402"/>
      <c r="J2" s="402"/>
      <c r="K2" s="1502"/>
      <c r="L2" s="1502"/>
      <c r="M2" s="1502"/>
      <c r="N2" s="1502"/>
      <c r="O2" s="402"/>
      <c r="P2" s="402"/>
      <c r="Q2" s="402"/>
      <c r="R2" s="403"/>
      <c r="S2" s="403"/>
      <c r="T2" s="404"/>
      <c r="U2" s="402"/>
      <c r="V2" s="405"/>
      <c r="W2" s="405"/>
      <c r="X2" s="405"/>
      <c r="Y2" s="402"/>
      <c r="Z2" s="402"/>
      <c r="AA2" s="402"/>
      <c r="AB2" s="402"/>
      <c r="AC2" s="402"/>
      <c r="AD2" s="402"/>
      <c r="AE2" s="402"/>
      <c r="AF2" s="402"/>
      <c r="AG2" s="406"/>
      <c r="AH2" s="406"/>
      <c r="AI2" s="406"/>
      <c r="AJ2" s="406"/>
      <c r="AK2" s="406"/>
      <c r="AL2" s="406"/>
      <c r="AM2" s="406"/>
      <c r="AN2" s="406"/>
      <c r="AO2" s="406"/>
      <c r="AP2" s="406"/>
    </row>
    <row r="3" spans="1:42" ht="12.75">
      <c r="A3" s="407" t="s">
        <v>1805</v>
      </c>
      <c r="B3" s="402"/>
      <c r="C3" s="402"/>
      <c r="D3" s="402"/>
      <c r="E3" s="402"/>
      <c r="F3" s="402"/>
      <c r="G3" s="402"/>
      <c r="H3" s="402"/>
      <c r="I3" s="402"/>
      <c r="J3" s="402"/>
      <c r="K3" s="402"/>
      <c r="L3" s="402"/>
      <c r="M3" s="402"/>
      <c r="N3" s="402"/>
      <c r="O3" s="402"/>
      <c r="P3" s="408" t="s">
        <v>2132</v>
      </c>
      <c r="Q3" s="408"/>
      <c r="R3" s="408"/>
      <c r="S3" s="408"/>
      <c r="T3" s="402"/>
      <c r="U3" s="402"/>
      <c r="V3" s="405"/>
      <c r="W3" s="405"/>
      <c r="X3" s="407" t="s">
        <v>1805</v>
      </c>
      <c r="Y3" s="402"/>
      <c r="Z3" s="402"/>
      <c r="AA3" s="402"/>
      <c r="AB3" s="402"/>
      <c r="AC3" s="402"/>
      <c r="AD3" s="402"/>
      <c r="AE3" s="402"/>
      <c r="AF3" s="402"/>
      <c r="AG3" s="406"/>
      <c r="AH3" s="406"/>
      <c r="AI3" s="406"/>
      <c r="AJ3" s="406"/>
      <c r="AK3" s="409" t="s">
        <v>2138</v>
      </c>
      <c r="AL3" s="409"/>
      <c r="AM3" s="409"/>
      <c r="AN3" s="406"/>
      <c r="AO3" s="406"/>
      <c r="AP3" s="406"/>
    </row>
    <row r="4" spans="1:42" ht="13.5" thickBot="1">
      <c r="A4" s="402"/>
      <c r="B4" s="402"/>
      <c r="C4" s="402"/>
      <c r="D4" s="402"/>
      <c r="E4" s="402"/>
      <c r="F4" s="402"/>
      <c r="G4" s="402"/>
      <c r="H4" s="402"/>
      <c r="I4" s="402"/>
      <c r="J4" s="402"/>
      <c r="K4" s="402"/>
      <c r="L4" s="410"/>
      <c r="M4" s="402"/>
      <c r="N4" s="402"/>
      <c r="O4" s="402"/>
      <c r="P4" s="402"/>
      <c r="Q4" s="402"/>
      <c r="R4" s="403"/>
      <c r="S4" s="403"/>
      <c r="T4" s="402"/>
      <c r="U4" s="402"/>
      <c r="V4" s="405"/>
      <c r="W4" s="405"/>
      <c r="X4" s="402"/>
      <c r="Y4" s="402"/>
      <c r="Z4" s="402"/>
      <c r="AA4" s="406"/>
      <c r="AB4" s="406"/>
      <c r="AC4" s="406"/>
      <c r="AD4" s="406"/>
      <c r="AE4" s="406"/>
      <c r="AF4" s="406"/>
      <c r="AG4" s="406"/>
      <c r="AH4" s="406"/>
      <c r="AI4" s="406"/>
      <c r="AJ4" s="406"/>
      <c r="AK4" s="406"/>
      <c r="AL4" s="406"/>
      <c r="AM4" s="406"/>
      <c r="AN4" s="406"/>
      <c r="AO4" s="406"/>
      <c r="AP4" s="406"/>
    </row>
    <row r="5" spans="1:42" ht="23.25" customHeight="1" thickBot="1">
      <c r="A5" s="1503" t="s">
        <v>1806</v>
      </c>
      <c r="B5" s="1503" t="s">
        <v>2126</v>
      </c>
      <c r="C5" s="1503" t="s">
        <v>2127</v>
      </c>
      <c r="D5" s="1506" t="s">
        <v>2128</v>
      </c>
      <c r="E5" s="1507"/>
      <c r="F5" s="1507"/>
      <c r="G5" s="1507"/>
      <c r="H5" s="1507"/>
      <c r="I5" s="1507"/>
      <c r="J5" s="1507"/>
      <c r="K5" s="1508"/>
      <c r="L5" s="1509" t="s">
        <v>2164</v>
      </c>
      <c r="M5" s="1510"/>
      <c r="N5" s="1511"/>
      <c r="O5" s="1509" t="s">
        <v>2163</v>
      </c>
      <c r="P5" s="1510"/>
      <c r="Q5" s="1511"/>
      <c r="R5" s="414"/>
      <c r="S5" s="414"/>
      <c r="T5" s="1515" t="s">
        <v>1807</v>
      </c>
      <c r="U5" s="1516"/>
      <c r="V5" s="417"/>
      <c r="W5" s="417"/>
      <c r="X5" s="1503" t="s">
        <v>1806</v>
      </c>
      <c r="Y5" s="1506" t="s">
        <v>156</v>
      </c>
      <c r="Z5" s="1507"/>
      <c r="AA5" s="1507"/>
      <c r="AB5" s="1507"/>
      <c r="AC5" s="1507"/>
      <c r="AD5" s="1507"/>
      <c r="AE5" s="1507"/>
      <c r="AF5" s="1507"/>
      <c r="AG5" s="1507"/>
      <c r="AH5" s="1507"/>
      <c r="AI5" s="1507"/>
      <c r="AJ5" s="1507"/>
      <c r="AK5" s="1507"/>
      <c r="AL5" s="1507"/>
      <c r="AM5" s="1508"/>
      <c r="AN5" s="418"/>
      <c r="AO5" s="419"/>
      <c r="AP5" s="406"/>
    </row>
    <row r="6" spans="1:42" ht="23.25" customHeight="1" thickBot="1">
      <c r="A6" s="1504"/>
      <c r="B6" s="1504"/>
      <c r="C6" s="1504"/>
      <c r="D6" s="1521" t="s">
        <v>1681</v>
      </c>
      <c r="E6" s="1522" t="s">
        <v>1807</v>
      </c>
      <c r="F6" s="1525" t="s">
        <v>2129</v>
      </c>
      <c r="G6" s="1526"/>
      <c r="H6" s="1526"/>
      <c r="I6" s="1526"/>
      <c r="J6" s="1526"/>
      <c r="K6" s="1527"/>
      <c r="L6" s="1512"/>
      <c r="M6" s="1513"/>
      <c r="N6" s="1514"/>
      <c r="O6" s="1512"/>
      <c r="P6" s="1513"/>
      <c r="Q6" s="1514"/>
      <c r="R6" s="414"/>
      <c r="S6" s="414"/>
      <c r="T6" s="1517"/>
      <c r="U6" s="1518"/>
      <c r="V6" s="417"/>
      <c r="W6" s="417"/>
      <c r="X6" s="1504"/>
      <c r="Y6" s="1506" t="s">
        <v>1808</v>
      </c>
      <c r="Z6" s="1507"/>
      <c r="AA6" s="1507"/>
      <c r="AB6" s="1507"/>
      <c r="AC6" s="1507"/>
      <c r="AD6" s="1507"/>
      <c r="AE6" s="1507"/>
      <c r="AF6" s="1507"/>
      <c r="AG6" s="1508"/>
      <c r="AH6" s="1516" t="s">
        <v>1807</v>
      </c>
      <c r="AI6" s="1506" t="s">
        <v>1809</v>
      </c>
      <c r="AJ6" s="1507"/>
      <c r="AK6" s="1507"/>
      <c r="AL6" s="1507"/>
      <c r="AM6" s="1508"/>
      <c r="AN6" s="1517" t="s">
        <v>1807</v>
      </c>
      <c r="AO6" s="1518"/>
      <c r="AP6" s="406"/>
    </row>
    <row r="7" spans="1:42" ht="29.25" customHeight="1" thickBot="1">
      <c r="A7" s="1504"/>
      <c r="B7" s="1504"/>
      <c r="C7" s="1504"/>
      <c r="D7" s="1504"/>
      <c r="E7" s="1523"/>
      <c r="F7" s="1506" t="s">
        <v>1810</v>
      </c>
      <c r="G7" s="1508"/>
      <c r="H7" s="420" t="s">
        <v>1807</v>
      </c>
      <c r="I7" s="1503" t="s">
        <v>2131</v>
      </c>
      <c r="J7" s="1503" t="s">
        <v>1811</v>
      </c>
      <c r="K7" s="1503" t="s">
        <v>1812</v>
      </c>
      <c r="L7" s="1503" t="s">
        <v>1681</v>
      </c>
      <c r="M7" s="1506" t="s">
        <v>2129</v>
      </c>
      <c r="N7" s="1508"/>
      <c r="O7" s="1503" t="s">
        <v>1681</v>
      </c>
      <c r="P7" s="1506" t="s">
        <v>2129</v>
      </c>
      <c r="Q7" s="1508"/>
      <c r="R7" s="414"/>
      <c r="S7" s="414"/>
      <c r="T7" s="1517"/>
      <c r="U7" s="1518"/>
      <c r="V7" s="417"/>
      <c r="W7" s="417"/>
      <c r="X7" s="1504"/>
      <c r="Y7" s="1503" t="s">
        <v>1681</v>
      </c>
      <c r="Z7" s="1525" t="s">
        <v>1813</v>
      </c>
      <c r="AA7" s="1526"/>
      <c r="AB7" s="1527"/>
      <c r="AC7" s="420" t="s">
        <v>1807</v>
      </c>
      <c r="AD7" s="1506" t="s">
        <v>1683</v>
      </c>
      <c r="AE7" s="1530"/>
      <c r="AF7" s="1530"/>
      <c r="AG7" s="1531"/>
      <c r="AH7" s="1518"/>
      <c r="AI7" s="1503" t="s">
        <v>1681</v>
      </c>
      <c r="AJ7" s="1506" t="s">
        <v>1814</v>
      </c>
      <c r="AK7" s="1531"/>
      <c r="AL7" s="1506" t="s">
        <v>2135</v>
      </c>
      <c r="AM7" s="1531"/>
      <c r="AN7" s="1517"/>
      <c r="AO7" s="1518"/>
      <c r="AP7" s="406"/>
    </row>
    <row r="8" spans="1:42" ht="25.5" customHeight="1" thickBot="1">
      <c r="A8" s="1505"/>
      <c r="B8" s="1505"/>
      <c r="C8" s="1505"/>
      <c r="D8" s="1505"/>
      <c r="E8" s="1524"/>
      <c r="F8" s="427" t="s">
        <v>2130</v>
      </c>
      <c r="G8" s="427" t="s">
        <v>1815</v>
      </c>
      <c r="H8" s="428"/>
      <c r="I8" s="1528"/>
      <c r="J8" s="1528"/>
      <c r="K8" s="1528"/>
      <c r="L8" s="1528"/>
      <c r="M8" s="422" t="s">
        <v>1816</v>
      </c>
      <c r="N8" s="421" t="s">
        <v>1817</v>
      </c>
      <c r="O8" s="1529"/>
      <c r="P8" s="411" t="s">
        <v>1816</v>
      </c>
      <c r="Q8" s="411" t="s">
        <v>1817</v>
      </c>
      <c r="R8" s="414"/>
      <c r="S8" s="414"/>
      <c r="T8" s="1519"/>
      <c r="U8" s="1520"/>
      <c r="V8" s="417"/>
      <c r="W8" s="417"/>
      <c r="X8" s="1505"/>
      <c r="Y8" s="1505"/>
      <c r="Z8" s="432">
        <v>2.5</v>
      </c>
      <c r="AA8" s="433">
        <v>2</v>
      </c>
      <c r="AB8" s="434" t="s">
        <v>157</v>
      </c>
      <c r="AC8" s="428"/>
      <c r="AD8" s="429" t="s">
        <v>1818</v>
      </c>
      <c r="AE8" s="429" t="s">
        <v>1819</v>
      </c>
      <c r="AF8" s="414" t="s">
        <v>1820</v>
      </c>
      <c r="AG8" s="429" t="s">
        <v>1821</v>
      </c>
      <c r="AH8" s="1520"/>
      <c r="AI8" s="1528"/>
      <c r="AJ8" s="435">
        <v>2</v>
      </c>
      <c r="AK8" s="429" t="s">
        <v>158</v>
      </c>
      <c r="AL8" s="429" t="s">
        <v>1822</v>
      </c>
      <c r="AM8" s="436" t="s">
        <v>1823</v>
      </c>
      <c r="AN8" s="1519"/>
      <c r="AO8" s="1520"/>
      <c r="AP8" s="406"/>
    </row>
    <row r="9" spans="1:42" ht="29.25" customHeight="1" thickBot="1">
      <c r="A9" s="412">
        <v>1</v>
      </c>
      <c r="B9" s="421" t="s">
        <v>1824</v>
      </c>
      <c r="C9" s="421">
        <v>3</v>
      </c>
      <c r="D9" s="421" t="s">
        <v>1825</v>
      </c>
      <c r="E9" s="437" t="s">
        <v>1826</v>
      </c>
      <c r="F9" s="411">
        <v>5</v>
      </c>
      <c r="G9" s="422">
        <v>6</v>
      </c>
      <c r="H9" s="437" t="s">
        <v>1827</v>
      </c>
      <c r="I9" s="421">
        <v>7</v>
      </c>
      <c r="J9" s="421">
        <v>8</v>
      </c>
      <c r="K9" s="411">
        <v>9</v>
      </c>
      <c r="L9" s="434" t="s">
        <v>1828</v>
      </c>
      <c r="M9" s="432">
        <v>11</v>
      </c>
      <c r="N9" s="438">
        <v>12</v>
      </c>
      <c r="O9" s="434" t="s">
        <v>1829</v>
      </c>
      <c r="P9" s="438">
        <v>14</v>
      </c>
      <c r="Q9" s="438">
        <v>15</v>
      </c>
      <c r="R9" s="439"/>
      <c r="S9" s="439"/>
      <c r="T9" s="440" t="s">
        <v>1830</v>
      </c>
      <c r="U9" s="440" t="s">
        <v>1831</v>
      </c>
      <c r="V9" s="441"/>
      <c r="W9" s="441"/>
      <c r="X9" s="412" t="s">
        <v>1832</v>
      </c>
      <c r="Y9" s="421" t="s">
        <v>1833</v>
      </c>
      <c r="Z9" s="421">
        <v>17</v>
      </c>
      <c r="AA9" s="421">
        <v>18</v>
      </c>
      <c r="AB9" s="421">
        <v>19</v>
      </c>
      <c r="AC9" s="437" t="s">
        <v>1834</v>
      </c>
      <c r="AD9" s="421">
        <v>20</v>
      </c>
      <c r="AE9" s="421">
        <v>21</v>
      </c>
      <c r="AF9" s="421">
        <v>22</v>
      </c>
      <c r="AG9" s="411">
        <v>23</v>
      </c>
      <c r="AH9" s="442" t="s">
        <v>1835</v>
      </c>
      <c r="AI9" s="421" t="s">
        <v>1836</v>
      </c>
      <c r="AJ9" s="421">
        <v>25</v>
      </c>
      <c r="AK9" s="411">
        <v>26</v>
      </c>
      <c r="AL9" s="411">
        <v>27</v>
      </c>
      <c r="AM9" s="434">
        <v>28</v>
      </c>
      <c r="AN9" s="440" t="s">
        <v>1837</v>
      </c>
      <c r="AO9" s="440" t="s">
        <v>1838</v>
      </c>
      <c r="AP9" s="406"/>
    </row>
    <row r="10" spans="1:42" ht="13.5" thickBot="1">
      <c r="A10" s="443" t="s">
        <v>1839</v>
      </c>
      <c r="B10" s="444">
        <f>Y10+AI10</f>
        <v>1468</v>
      </c>
      <c r="C10" s="445">
        <v>0</v>
      </c>
      <c r="D10" s="444">
        <v>1468</v>
      </c>
      <c r="E10" s="446"/>
      <c r="F10" s="447">
        <v>0</v>
      </c>
      <c r="G10" s="448">
        <f>D10-F10</f>
        <v>1468</v>
      </c>
      <c r="H10" s="446"/>
      <c r="I10" s="447">
        <v>29</v>
      </c>
      <c r="J10" s="445">
        <v>30</v>
      </c>
      <c r="K10" s="447">
        <v>0</v>
      </c>
      <c r="L10" s="449">
        <f>M10+N10</f>
        <v>63</v>
      </c>
      <c r="M10" s="445">
        <v>35</v>
      </c>
      <c r="N10" s="447">
        <v>28</v>
      </c>
      <c r="O10" s="449">
        <f>P10+Q10</f>
        <v>54</v>
      </c>
      <c r="P10" s="447">
        <v>31</v>
      </c>
      <c r="Q10" s="447">
        <v>23</v>
      </c>
      <c r="R10" s="450"/>
      <c r="S10" s="450"/>
      <c r="T10" s="451" t="b">
        <f>N10+M10=L10</f>
        <v>1</v>
      </c>
      <c r="U10" s="452" t="b">
        <f>O10=P10+Q10</f>
        <v>1</v>
      </c>
      <c r="V10" s="453"/>
      <c r="W10" s="453"/>
      <c r="X10" s="454" t="s">
        <v>1839</v>
      </c>
      <c r="Y10" s="444">
        <f>Z10+AA10+AB10</f>
        <v>393</v>
      </c>
      <c r="Z10" s="448">
        <v>159</v>
      </c>
      <c r="AA10" s="447">
        <v>230</v>
      </c>
      <c r="AB10" s="455">
        <v>4</v>
      </c>
      <c r="AC10" s="446"/>
      <c r="AD10" s="447">
        <v>202</v>
      </c>
      <c r="AE10" s="448">
        <v>165</v>
      </c>
      <c r="AF10" s="447">
        <v>26</v>
      </c>
      <c r="AG10" s="456">
        <v>0</v>
      </c>
      <c r="AH10" s="457"/>
      <c r="AI10" s="444">
        <f>AJ10+AK10</f>
        <v>1075</v>
      </c>
      <c r="AJ10" s="448">
        <v>127</v>
      </c>
      <c r="AK10" s="458">
        <v>948</v>
      </c>
      <c r="AL10" s="448">
        <v>904</v>
      </c>
      <c r="AM10" s="447">
        <v>171</v>
      </c>
      <c r="AN10" s="446" t="b">
        <f>AJ10+AK10=AL10+AM10</f>
        <v>1</v>
      </c>
      <c r="AO10" s="446" t="b">
        <f>D10=Y10+AI10</f>
        <v>1</v>
      </c>
      <c r="AP10" s="406"/>
    </row>
    <row r="11" spans="1:42" ht="13.5" thickBot="1">
      <c r="A11" s="443" t="s">
        <v>1840</v>
      </c>
      <c r="B11" s="444">
        <f>Y11+AI11</f>
        <v>2993</v>
      </c>
      <c r="C11" s="445">
        <v>0</v>
      </c>
      <c r="D11" s="444">
        <v>2993</v>
      </c>
      <c r="E11" s="446"/>
      <c r="F11" s="447">
        <v>170</v>
      </c>
      <c r="G11" s="448">
        <f>D11-F11</f>
        <v>2823</v>
      </c>
      <c r="H11" s="446"/>
      <c r="I11" s="447">
        <v>221</v>
      </c>
      <c r="J11" s="445">
        <v>1038</v>
      </c>
      <c r="K11" s="447">
        <v>0</v>
      </c>
      <c r="L11" s="449">
        <f>M11+N11</f>
        <v>433</v>
      </c>
      <c r="M11" s="459">
        <v>276</v>
      </c>
      <c r="N11" s="460">
        <v>157</v>
      </c>
      <c r="O11" s="449">
        <f>P11+Q11</f>
        <v>846</v>
      </c>
      <c r="P11" s="460">
        <v>368</v>
      </c>
      <c r="Q11" s="460">
        <v>478</v>
      </c>
      <c r="R11" s="450"/>
      <c r="S11" s="450"/>
      <c r="T11" s="451" t="b">
        <f>N11+M11=L11</f>
        <v>1</v>
      </c>
      <c r="U11" s="452" t="b">
        <f>O11=P11+Q11</f>
        <v>1</v>
      </c>
      <c r="V11" s="453"/>
      <c r="W11" s="453"/>
      <c r="X11" s="454" t="s">
        <v>1840</v>
      </c>
      <c r="Y11" s="444">
        <f>Z11+AA11+AB11</f>
        <v>1308</v>
      </c>
      <c r="Z11" s="448">
        <v>0</v>
      </c>
      <c r="AA11" s="447">
        <v>1284</v>
      </c>
      <c r="AB11" s="455">
        <v>24</v>
      </c>
      <c r="AC11" s="446"/>
      <c r="AD11" s="447">
        <v>1130</v>
      </c>
      <c r="AE11" s="448">
        <v>178</v>
      </c>
      <c r="AF11" s="447">
        <v>0</v>
      </c>
      <c r="AG11" s="456">
        <v>0</v>
      </c>
      <c r="AH11" s="457"/>
      <c r="AI11" s="444">
        <f>AJ11+AK11</f>
        <v>1685</v>
      </c>
      <c r="AJ11" s="448">
        <v>2</v>
      </c>
      <c r="AK11" s="458">
        <v>1683</v>
      </c>
      <c r="AL11" s="448">
        <v>1442</v>
      </c>
      <c r="AM11" s="447">
        <v>243</v>
      </c>
      <c r="AN11" s="446" t="b">
        <f>AJ11+AK11=AL11+AM11</f>
        <v>1</v>
      </c>
      <c r="AO11" s="446" t="b">
        <f>D11=Y12+AI11</f>
        <v>0</v>
      </c>
      <c r="AP11" s="406"/>
    </row>
    <row r="12" spans="1:42" s="35" customFormat="1" ht="14.25" thickBot="1">
      <c r="A12" s="461" t="s">
        <v>1841</v>
      </c>
      <c r="B12" s="444">
        <f>SUM(B10:B11)</f>
        <v>4461</v>
      </c>
      <c r="C12" s="443">
        <v>0</v>
      </c>
      <c r="D12" s="444">
        <v>4461</v>
      </c>
      <c r="E12" s="462"/>
      <c r="F12" s="461">
        <v>170</v>
      </c>
      <c r="G12" s="448">
        <f>D12-F12</f>
        <v>4291</v>
      </c>
      <c r="H12" s="462"/>
      <c r="I12" s="461">
        <f>SUM(I9:I11)</f>
        <v>257</v>
      </c>
      <c r="J12" s="443">
        <f>SUM(J9:J11)</f>
        <v>1076</v>
      </c>
      <c r="K12" s="461">
        <v>0</v>
      </c>
      <c r="L12" s="449">
        <f>M12+N12</f>
        <v>519</v>
      </c>
      <c r="M12" s="461">
        <f>SUM(M9:M11)</f>
        <v>322</v>
      </c>
      <c r="N12" s="461">
        <f>SUM(N9:N11)</f>
        <v>197</v>
      </c>
      <c r="O12" s="449">
        <f>P12+Q12</f>
        <v>929</v>
      </c>
      <c r="P12" s="461">
        <f>SUM(P9:P11)</f>
        <v>413</v>
      </c>
      <c r="Q12" s="461">
        <f>SUM(Q9:Q11)</f>
        <v>516</v>
      </c>
      <c r="R12" s="463"/>
      <c r="S12" s="463"/>
      <c r="T12" s="464" t="b">
        <f>N12+M12=L12</f>
        <v>1</v>
      </c>
      <c r="U12" s="462" t="b">
        <f>O12=P12+Q12</f>
        <v>1</v>
      </c>
      <c r="V12" s="465"/>
      <c r="W12" s="465"/>
      <c r="X12" s="466" t="s">
        <v>1841</v>
      </c>
      <c r="Y12" s="444">
        <f>Z12+AA12+AB12</f>
        <v>1701</v>
      </c>
      <c r="Z12" s="466">
        <f>SUM(Z10:Z11)</f>
        <v>159</v>
      </c>
      <c r="AA12" s="466">
        <f>SUM(AA10:AA11)</f>
        <v>1514</v>
      </c>
      <c r="AB12" s="454">
        <f>SUM(AB10:AB11)</f>
        <v>28</v>
      </c>
      <c r="AC12" s="467"/>
      <c r="AD12" s="466">
        <f>SUM(AD10:AD11)</f>
        <v>1332</v>
      </c>
      <c r="AE12" s="466">
        <f>SUM(AE10:AE11)</f>
        <v>343</v>
      </c>
      <c r="AF12" s="466">
        <f>SUM(AF10:AF11)</f>
        <v>26</v>
      </c>
      <c r="AG12" s="466">
        <f>SUM(AG10:AG11)</f>
        <v>0</v>
      </c>
      <c r="AH12" s="468"/>
      <c r="AI12" s="466">
        <f>AJ12+AK12</f>
        <v>2760</v>
      </c>
      <c r="AJ12" s="466">
        <f>SUM(AJ10:AJ11)</f>
        <v>129</v>
      </c>
      <c r="AK12" s="466">
        <f>SUM(AK10:AK11)</f>
        <v>2631</v>
      </c>
      <c r="AL12" s="466">
        <f>SUM(AL10:AL11)</f>
        <v>2346</v>
      </c>
      <c r="AM12" s="466">
        <f>SUM(AM10:AM11)</f>
        <v>414</v>
      </c>
      <c r="AN12" s="462" t="b">
        <f>AJ12+AK12=AL12+AM12</f>
        <v>1</v>
      </c>
      <c r="AO12" s="462" t="e">
        <f>D12=#REF!+AI12</f>
        <v>#REF!</v>
      </c>
      <c r="AP12" s="469"/>
    </row>
    <row r="13" spans="1:42" ht="12.75">
      <c r="A13" s="470"/>
      <c r="B13" s="471"/>
      <c r="C13" s="472"/>
      <c r="D13" s="473"/>
      <c r="E13" s="473"/>
      <c r="F13" s="473"/>
      <c r="G13" s="473"/>
      <c r="H13" s="473"/>
      <c r="I13" s="473"/>
      <c r="J13" s="473"/>
      <c r="K13" s="472"/>
      <c r="L13" s="470"/>
      <c r="M13" s="470"/>
      <c r="N13" s="470"/>
      <c r="O13" s="470"/>
      <c r="P13" s="470"/>
      <c r="Q13" s="470"/>
      <c r="R13" s="470"/>
      <c r="S13" s="470"/>
      <c r="T13" s="470"/>
      <c r="U13" s="470"/>
      <c r="V13" s="474"/>
      <c r="W13" s="474"/>
      <c r="X13" s="470"/>
      <c r="Y13" s="473"/>
      <c r="Z13" s="473"/>
      <c r="AA13" s="473"/>
      <c r="AB13" s="473"/>
      <c r="AC13" s="473"/>
      <c r="AD13" s="473"/>
      <c r="AE13" s="473"/>
      <c r="AF13" s="473"/>
      <c r="AG13" s="473"/>
      <c r="AH13" s="473"/>
      <c r="AI13" s="473"/>
      <c r="AJ13" s="473"/>
      <c r="AK13" s="473"/>
      <c r="AL13" s="472"/>
      <c r="AM13" s="470"/>
      <c r="AN13" s="470"/>
      <c r="AO13" s="470"/>
      <c r="AP13" s="406"/>
    </row>
    <row r="14" spans="1:42" s="37" customFormat="1" ht="12.75">
      <c r="A14" s="405"/>
      <c r="B14" s="405"/>
      <c r="C14" s="405"/>
      <c r="D14" s="405"/>
      <c r="E14" s="405"/>
      <c r="F14" s="405"/>
      <c r="G14" s="405"/>
      <c r="H14" s="405"/>
      <c r="I14" s="405"/>
      <c r="J14" s="405"/>
      <c r="K14" s="405"/>
      <c r="L14" s="474"/>
      <c r="M14" s="474"/>
      <c r="N14" s="474"/>
      <c r="O14" s="474"/>
      <c r="P14" s="474"/>
      <c r="Q14" s="474"/>
      <c r="R14" s="474"/>
      <c r="S14" s="474"/>
      <c r="T14" s="474"/>
      <c r="U14" s="474"/>
      <c r="V14" s="474"/>
      <c r="W14" s="474"/>
      <c r="X14" s="405"/>
      <c r="Y14" s="474"/>
      <c r="Z14" s="474"/>
      <c r="AA14" s="474"/>
      <c r="AB14" s="474"/>
      <c r="AC14" s="474"/>
      <c r="AD14" s="474"/>
      <c r="AE14" s="474"/>
      <c r="AF14" s="475"/>
      <c r="AG14" s="475"/>
      <c r="AH14" s="475"/>
      <c r="AI14" s="474"/>
      <c r="AJ14" s="475"/>
      <c r="AK14" s="474"/>
      <c r="AL14" s="475"/>
      <c r="AM14" s="405"/>
      <c r="AN14" s="405"/>
      <c r="AO14" s="474"/>
      <c r="AP14" s="401"/>
    </row>
    <row r="15" spans="1:42" s="37" customFormat="1" ht="12.75">
      <c r="A15" s="476" t="s">
        <v>1842</v>
      </c>
      <c r="B15" s="400"/>
      <c r="C15" s="400"/>
      <c r="D15" s="400"/>
      <c r="E15" s="400"/>
      <c r="F15" s="400"/>
      <c r="G15" s="400"/>
      <c r="H15" s="400"/>
      <c r="I15" s="400"/>
      <c r="J15" s="400"/>
      <c r="K15" s="400"/>
      <c r="L15" s="401"/>
      <c r="M15" s="401"/>
      <c r="N15" s="401"/>
      <c r="O15" s="474"/>
      <c r="P15" s="477" t="s">
        <v>2133</v>
      </c>
      <c r="Q15" s="401"/>
      <c r="R15" s="474"/>
      <c r="S15" s="474"/>
      <c r="T15" s="401"/>
      <c r="U15" s="401"/>
      <c r="V15" s="474"/>
      <c r="W15" s="474"/>
      <c r="X15" s="476" t="s">
        <v>1842</v>
      </c>
      <c r="Y15" s="401"/>
      <c r="Z15" s="401"/>
      <c r="AA15" s="401"/>
      <c r="AB15" s="401"/>
      <c r="AC15" s="401"/>
      <c r="AD15" s="401"/>
      <c r="AE15" s="401"/>
      <c r="AF15" s="478"/>
      <c r="AG15" s="479"/>
      <c r="AH15" s="479"/>
      <c r="AI15" s="401"/>
      <c r="AJ15" s="479"/>
      <c r="AK15" s="409" t="s">
        <v>2139</v>
      </c>
      <c r="AL15" s="409"/>
      <c r="AM15" s="409"/>
      <c r="AN15" s="401"/>
      <c r="AO15" s="401"/>
      <c r="AP15" s="401"/>
    </row>
    <row r="16" spans="1:42" s="37" customFormat="1" ht="13.5" thickBot="1">
      <c r="A16" s="400"/>
      <c r="B16" s="400"/>
      <c r="C16" s="400"/>
      <c r="D16" s="401"/>
      <c r="E16" s="401"/>
      <c r="F16" s="401"/>
      <c r="G16" s="400"/>
      <c r="H16" s="400"/>
      <c r="I16" s="400"/>
      <c r="J16" s="400"/>
      <c r="K16" s="400"/>
      <c r="L16" s="401"/>
      <c r="M16" s="401"/>
      <c r="N16" s="401"/>
      <c r="O16" s="401"/>
      <c r="P16" s="401"/>
      <c r="Q16" s="480"/>
      <c r="R16" s="477"/>
      <c r="S16" s="477"/>
      <c r="T16" s="481"/>
      <c r="U16" s="401"/>
      <c r="V16" s="474"/>
      <c r="W16" s="474"/>
      <c r="X16" s="400"/>
      <c r="Y16" s="400"/>
      <c r="Z16" s="400"/>
      <c r="AA16" s="400"/>
      <c r="AB16" s="400"/>
      <c r="AC16" s="400"/>
      <c r="AD16" s="400"/>
      <c r="AE16" s="400"/>
      <c r="AF16" s="400"/>
      <c r="AG16" s="400"/>
      <c r="AH16" s="400"/>
      <c r="AI16" s="400"/>
      <c r="AJ16" s="401"/>
      <c r="AK16" s="401"/>
      <c r="AL16" s="400"/>
      <c r="AM16" s="401"/>
      <c r="AN16" s="401"/>
      <c r="AO16" s="401"/>
      <c r="AP16" s="401"/>
    </row>
    <row r="17" spans="1:42" ht="24" customHeight="1" thickBot="1">
      <c r="A17" s="1503" t="s">
        <v>1806</v>
      </c>
      <c r="B17" s="1503" t="s">
        <v>2126</v>
      </c>
      <c r="C17" s="1503" t="s">
        <v>2127</v>
      </c>
      <c r="D17" s="1506" t="s">
        <v>2128</v>
      </c>
      <c r="E17" s="1507"/>
      <c r="F17" s="1507"/>
      <c r="G17" s="1507"/>
      <c r="H17" s="1507"/>
      <c r="I17" s="1507"/>
      <c r="J17" s="1507"/>
      <c r="K17" s="1508"/>
      <c r="L17" s="1509" t="s">
        <v>2164</v>
      </c>
      <c r="M17" s="1510"/>
      <c r="N17" s="1511"/>
      <c r="O17" s="1509" t="s">
        <v>2163</v>
      </c>
      <c r="P17" s="1510"/>
      <c r="Q17" s="1511"/>
      <c r="R17" s="414"/>
      <c r="S17" s="414"/>
      <c r="T17" s="1515" t="s">
        <v>1807</v>
      </c>
      <c r="U17" s="1516"/>
      <c r="V17" s="417"/>
      <c r="W17" s="417"/>
      <c r="X17" s="1503" t="s">
        <v>1806</v>
      </c>
      <c r="Y17" s="1506" t="s">
        <v>156</v>
      </c>
      <c r="Z17" s="1507"/>
      <c r="AA17" s="1507"/>
      <c r="AB17" s="1507"/>
      <c r="AC17" s="1507"/>
      <c r="AD17" s="1507"/>
      <c r="AE17" s="1507"/>
      <c r="AF17" s="1507"/>
      <c r="AG17" s="1507"/>
      <c r="AH17" s="1507"/>
      <c r="AI17" s="1507"/>
      <c r="AJ17" s="1507"/>
      <c r="AK17" s="1507"/>
      <c r="AL17" s="1507"/>
      <c r="AM17" s="1508"/>
      <c r="AN17" s="418"/>
      <c r="AO17" s="419"/>
      <c r="AP17" s="406"/>
    </row>
    <row r="18" spans="1:42" ht="18.75" customHeight="1" thickBot="1">
      <c r="A18" s="1521"/>
      <c r="B18" s="1504"/>
      <c r="C18" s="1504"/>
      <c r="D18" s="1521" t="s">
        <v>1681</v>
      </c>
      <c r="E18" s="1522" t="s">
        <v>1807</v>
      </c>
      <c r="F18" s="1525" t="s">
        <v>2129</v>
      </c>
      <c r="G18" s="1526"/>
      <c r="H18" s="1526"/>
      <c r="I18" s="1526"/>
      <c r="J18" s="1526"/>
      <c r="K18" s="1527"/>
      <c r="L18" s="1512"/>
      <c r="M18" s="1513"/>
      <c r="N18" s="1514"/>
      <c r="O18" s="1512"/>
      <c r="P18" s="1513"/>
      <c r="Q18" s="1514"/>
      <c r="R18" s="414"/>
      <c r="S18" s="414"/>
      <c r="T18" s="1517"/>
      <c r="U18" s="1518"/>
      <c r="V18" s="417"/>
      <c r="W18" s="417"/>
      <c r="X18" s="1504"/>
      <c r="Y18" s="1506" t="s">
        <v>1808</v>
      </c>
      <c r="Z18" s="1507"/>
      <c r="AA18" s="1507"/>
      <c r="AB18" s="1507"/>
      <c r="AC18" s="1507"/>
      <c r="AD18" s="1507"/>
      <c r="AE18" s="1507"/>
      <c r="AF18" s="1507"/>
      <c r="AG18" s="1508"/>
      <c r="AH18" s="1516" t="s">
        <v>1807</v>
      </c>
      <c r="AI18" s="1506" t="s">
        <v>1809</v>
      </c>
      <c r="AJ18" s="1507"/>
      <c r="AK18" s="1507"/>
      <c r="AL18" s="1507"/>
      <c r="AM18" s="1508"/>
      <c r="AN18" s="1517" t="s">
        <v>1807</v>
      </c>
      <c r="AO18" s="1518"/>
      <c r="AP18" s="406"/>
    </row>
    <row r="19" spans="1:42" ht="27.75" customHeight="1" thickBot="1">
      <c r="A19" s="1521"/>
      <c r="B19" s="1504"/>
      <c r="C19" s="1504"/>
      <c r="D19" s="1504"/>
      <c r="E19" s="1523"/>
      <c r="F19" s="1506" t="s">
        <v>1810</v>
      </c>
      <c r="G19" s="1508"/>
      <c r="H19" s="420" t="s">
        <v>1807</v>
      </c>
      <c r="I19" s="1503" t="s">
        <v>2131</v>
      </c>
      <c r="J19" s="1503" t="s">
        <v>1811</v>
      </c>
      <c r="K19" s="1503" t="s">
        <v>1812</v>
      </c>
      <c r="L19" s="1503" t="s">
        <v>1681</v>
      </c>
      <c r="M19" s="1506" t="s">
        <v>2129</v>
      </c>
      <c r="N19" s="1508"/>
      <c r="O19" s="1503" t="s">
        <v>1681</v>
      </c>
      <c r="P19" s="1506" t="s">
        <v>2129</v>
      </c>
      <c r="Q19" s="1508"/>
      <c r="R19" s="414"/>
      <c r="S19" s="414"/>
      <c r="T19" s="1517"/>
      <c r="U19" s="1518"/>
      <c r="V19" s="417"/>
      <c r="W19" s="417"/>
      <c r="X19" s="1504"/>
      <c r="Y19" s="1503" t="s">
        <v>1681</v>
      </c>
      <c r="Z19" s="1525" t="s">
        <v>1813</v>
      </c>
      <c r="AA19" s="1526"/>
      <c r="AB19" s="1527"/>
      <c r="AC19" s="420" t="s">
        <v>1807</v>
      </c>
      <c r="AD19" s="1506" t="s">
        <v>1683</v>
      </c>
      <c r="AE19" s="1530"/>
      <c r="AF19" s="1530"/>
      <c r="AG19" s="1531"/>
      <c r="AH19" s="1518"/>
      <c r="AI19" s="1503" t="s">
        <v>1681</v>
      </c>
      <c r="AJ19" s="1506" t="s">
        <v>1814</v>
      </c>
      <c r="AK19" s="1531"/>
      <c r="AL19" s="1506" t="s">
        <v>2135</v>
      </c>
      <c r="AM19" s="1531"/>
      <c r="AN19" s="1517"/>
      <c r="AO19" s="1518"/>
      <c r="AP19" s="406"/>
    </row>
    <row r="20" spans="1:42" ht="27.75" customHeight="1" thickBot="1">
      <c r="A20" s="1528"/>
      <c r="B20" s="1505"/>
      <c r="C20" s="1505"/>
      <c r="D20" s="1505"/>
      <c r="E20" s="1524"/>
      <c r="F20" s="427" t="s">
        <v>2130</v>
      </c>
      <c r="G20" s="427" t="s">
        <v>1815</v>
      </c>
      <c r="H20" s="428"/>
      <c r="I20" s="1528"/>
      <c r="J20" s="1528"/>
      <c r="K20" s="1528"/>
      <c r="L20" s="1528"/>
      <c r="M20" s="422" t="s">
        <v>1816</v>
      </c>
      <c r="N20" s="421" t="s">
        <v>1817</v>
      </c>
      <c r="O20" s="1529"/>
      <c r="P20" s="411" t="s">
        <v>1816</v>
      </c>
      <c r="Q20" s="411" t="s">
        <v>1817</v>
      </c>
      <c r="R20" s="414"/>
      <c r="S20" s="414"/>
      <c r="T20" s="1519"/>
      <c r="U20" s="1520"/>
      <c r="V20" s="417"/>
      <c r="W20" s="417"/>
      <c r="X20" s="1505"/>
      <c r="Y20" s="1505"/>
      <c r="Z20" s="432">
        <v>2.5</v>
      </c>
      <c r="AA20" s="433">
        <v>2</v>
      </c>
      <c r="AB20" s="434" t="s">
        <v>157</v>
      </c>
      <c r="AC20" s="428"/>
      <c r="AD20" s="429" t="s">
        <v>1818</v>
      </c>
      <c r="AE20" s="429" t="s">
        <v>1819</v>
      </c>
      <c r="AF20" s="414" t="s">
        <v>1820</v>
      </c>
      <c r="AG20" s="429" t="s">
        <v>1821</v>
      </c>
      <c r="AH20" s="1520"/>
      <c r="AI20" s="1528"/>
      <c r="AJ20" s="435">
        <v>2</v>
      </c>
      <c r="AK20" s="429" t="s">
        <v>158</v>
      </c>
      <c r="AL20" s="429" t="s">
        <v>1822</v>
      </c>
      <c r="AM20" s="436" t="s">
        <v>1823</v>
      </c>
      <c r="AN20" s="1519"/>
      <c r="AO20" s="1520"/>
      <c r="AP20" s="406"/>
    </row>
    <row r="21" spans="1:42" ht="51.75" customHeight="1" thickBot="1">
      <c r="A21" s="412">
        <v>1</v>
      </c>
      <c r="B21" s="421" t="s">
        <v>1824</v>
      </c>
      <c r="C21" s="421">
        <v>3</v>
      </c>
      <c r="D21" s="421" t="s">
        <v>1825</v>
      </c>
      <c r="E21" s="437" t="s">
        <v>1826</v>
      </c>
      <c r="F21" s="411">
        <v>5</v>
      </c>
      <c r="G21" s="422">
        <v>6</v>
      </c>
      <c r="H21" s="437" t="s">
        <v>1827</v>
      </c>
      <c r="I21" s="421">
        <v>7</v>
      </c>
      <c r="J21" s="421">
        <v>8</v>
      </c>
      <c r="K21" s="421">
        <v>9</v>
      </c>
      <c r="L21" s="434" t="s">
        <v>1828</v>
      </c>
      <c r="M21" s="432">
        <v>11</v>
      </c>
      <c r="N21" s="438">
        <v>12</v>
      </c>
      <c r="O21" s="434" t="s">
        <v>1829</v>
      </c>
      <c r="P21" s="438">
        <v>14</v>
      </c>
      <c r="Q21" s="438">
        <v>15</v>
      </c>
      <c r="R21" s="439"/>
      <c r="S21" s="439"/>
      <c r="T21" s="440" t="s">
        <v>1830</v>
      </c>
      <c r="U21" s="440" t="s">
        <v>1831</v>
      </c>
      <c r="V21" s="441"/>
      <c r="W21" s="441"/>
      <c r="X21" s="412" t="s">
        <v>1832</v>
      </c>
      <c r="Y21" s="421" t="s">
        <v>1833</v>
      </c>
      <c r="Z21" s="421">
        <v>17</v>
      </c>
      <c r="AA21" s="421">
        <v>18</v>
      </c>
      <c r="AB21" s="421">
        <v>19</v>
      </c>
      <c r="AC21" s="437" t="s">
        <v>1834</v>
      </c>
      <c r="AD21" s="421">
        <v>20</v>
      </c>
      <c r="AE21" s="421">
        <v>21</v>
      </c>
      <c r="AF21" s="421">
        <v>22</v>
      </c>
      <c r="AG21" s="411">
        <v>23</v>
      </c>
      <c r="AH21" s="442" t="s">
        <v>1835</v>
      </c>
      <c r="AI21" s="421" t="s">
        <v>1836</v>
      </c>
      <c r="AJ21" s="421">
        <v>25</v>
      </c>
      <c r="AK21" s="411">
        <v>26</v>
      </c>
      <c r="AL21" s="411">
        <v>27</v>
      </c>
      <c r="AM21" s="434">
        <v>28</v>
      </c>
      <c r="AN21" s="440" t="s">
        <v>1837</v>
      </c>
      <c r="AO21" s="440" t="s">
        <v>1838</v>
      </c>
      <c r="AP21" s="406"/>
    </row>
    <row r="22" spans="1:42" ht="13.5" thickBot="1">
      <c r="A22" s="443" t="s">
        <v>1839</v>
      </c>
      <c r="B22" s="482">
        <f>Y22+AI22</f>
        <v>13584</v>
      </c>
      <c r="C22" s="445">
        <v>0</v>
      </c>
      <c r="D22" s="482">
        <v>13584</v>
      </c>
      <c r="E22" s="446"/>
      <c r="F22" s="447">
        <v>18</v>
      </c>
      <c r="G22" s="448">
        <f>D22-F22</f>
        <v>13566</v>
      </c>
      <c r="H22" s="446"/>
      <c r="I22" s="447">
        <v>565</v>
      </c>
      <c r="J22" s="447">
        <v>669</v>
      </c>
      <c r="K22" s="448">
        <v>0</v>
      </c>
      <c r="L22" s="483">
        <f>M22+N22</f>
        <v>801</v>
      </c>
      <c r="M22" s="484">
        <v>689</v>
      </c>
      <c r="N22" s="485">
        <v>112</v>
      </c>
      <c r="O22" s="449">
        <f>P22+Q22</f>
        <v>991</v>
      </c>
      <c r="P22" s="447">
        <v>876</v>
      </c>
      <c r="Q22" s="447">
        <v>115</v>
      </c>
      <c r="R22" s="450"/>
      <c r="S22" s="450"/>
      <c r="T22" s="451" t="b">
        <f>N22+M22=L22</f>
        <v>1</v>
      </c>
      <c r="U22" s="452" t="b">
        <f>O22=P22+Q22</f>
        <v>1</v>
      </c>
      <c r="V22" s="453"/>
      <c r="W22" s="453"/>
      <c r="X22" s="454" t="s">
        <v>1839</v>
      </c>
      <c r="Y22" s="444">
        <f>Z22+AA22+AB22</f>
        <v>4583</v>
      </c>
      <c r="Z22" s="448">
        <v>2448</v>
      </c>
      <c r="AA22" s="447">
        <v>2122</v>
      </c>
      <c r="AB22" s="455">
        <v>13</v>
      </c>
      <c r="AC22" s="446"/>
      <c r="AD22" s="447">
        <v>2352</v>
      </c>
      <c r="AE22" s="448">
        <v>1857</v>
      </c>
      <c r="AF22" s="447">
        <v>374</v>
      </c>
      <c r="AG22" s="456">
        <v>0</v>
      </c>
      <c r="AH22" s="457"/>
      <c r="AI22" s="444">
        <f>AJ22+AK22</f>
        <v>9001</v>
      </c>
      <c r="AJ22" s="448">
        <v>1890</v>
      </c>
      <c r="AK22" s="458">
        <v>7111</v>
      </c>
      <c r="AL22" s="448">
        <v>6499</v>
      </c>
      <c r="AM22" s="447">
        <v>2502</v>
      </c>
      <c r="AN22" s="446" t="b">
        <f>AJ22+AK22=AL22+AM22</f>
        <v>1</v>
      </c>
      <c r="AO22" s="446" t="b">
        <f>D22=Y22+AI22</f>
        <v>1</v>
      </c>
      <c r="AP22" s="406"/>
    </row>
    <row r="23" spans="1:42" ht="13.5" thickBot="1">
      <c r="A23" s="443" t="s">
        <v>1840</v>
      </c>
      <c r="B23" s="482">
        <f>Y23+AI23</f>
        <v>20207</v>
      </c>
      <c r="C23" s="445">
        <v>0</v>
      </c>
      <c r="D23" s="482">
        <v>20207</v>
      </c>
      <c r="E23" s="446"/>
      <c r="F23" s="447">
        <v>1685</v>
      </c>
      <c r="G23" s="448">
        <f>D23-F23</f>
        <v>18522</v>
      </c>
      <c r="H23" s="446"/>
      <c r="I23" s="447">
        <v>2116</v>
      </c>
      <c r="J23" s="447">
        <v>3640</v>
      </c>
      <c r="K23" s="448">
        <v>0</v>
      </c>
      <c r="L23" s="483">
        <f>M23+N23</f>
        <v>2410</v>
      </c>
      <c r="M23" s="486">
        <v>2179</v>
      </c>
      <c r="N23" s="487">
        <v>231</v>
      </c>
      <c r="O23" s="449">
        <f>P23+Q23</f>
        <v>3314</v>
      </c>
      <c r="P23" s="460">
        <v>3078</v>
      </c>
      <c r="Q23" s="460">
        <v>236</v>
      </c>
      <c r="R23" s="450"/>
      <c r="S23" s="450"/>
      <c r="T23" s="451" t="b">
        <f>N23+M23=L23</f>
        <v>1</v>
      </c>
      <c r="U23" s="452" t="b">
        <f>O23=P23+Q23</f>
        <v>1</v>
      </c>
      <c r="V23" s="453"/>
      <c r="W23" s="453"/>
      <c r="X23" s="454" t="s">
        <v>1840</v>
      </c>
      <c r="Y23" s="444">
        <f>Z23+AA23+AB23</f>
        <v>9624</v>
      </c>
      <c r="Z23" s="448">
        <v>2</v>
      </c>
      <c r="AA23" s="447">
        <v>9459</v>
      </c>
      <c r="AB23" s="455">
        <v>163</v>
      </c>
      <c r="AC23" s="446"/>
      <c r="AD23" s="447">
        <v>7012</v>
      </c>
      <c r="AE23" s="448">
        <v>2630</v>
      </c>
      <c r="AF23" s="447">
        <v>0</v>
      </c>
      <c r="AG23" s="456">
        <v>0</v>
      </c>
      <c r="AH23" s="457"/>
      <c r="AI23" s="444">
        <f>AJ23+AK23</f>
        <v>10583</v>
      </c>
      <c r="AJ23" s="448">
        <v>3</v>
      </c>
      <c r="AK23" s="488">
        <v>10580</v>
      </c>
      <c r="AL23" s="448">
        <v>8179</v>
      </c>
      <c r="AM23" s="447">
        <v>2404</v>
      </c>
      <c r="AN23" s="446" t="b">
        <f>AJ23+AK23=AL23+AM23</f>
        <v>1</v>
      </c>
      <c r="AO23" s="446" t="b">
        <f>D23=Y23+AI23</f>
        <v>1</v>
      </c>
      <c r="AP23" s="406"/>
    </row>
    <row r="24" spans="1:42" s="35" customFormat="1" ht="14.25" thickBot="1">
      <c r="A24" s="461" t="s">
        <v>1841</v>
      </c>
      <c r="B24" s="443">
        <f>SUM(B22:B23)</f>
        <v>33791</v>
      </c>
      <c r="C24" s="443">
        <v>0</v>
      </c>
      <c r="D24" s="443">
        <v>33791</v>
      </c>
      <c r="E24" s="462"/>
      <c r="F24" s="443">
        <f>SUM(F21:F23)</f>
        <v>1708</v>
      </c>
      <c r="G24" s="448">
        <f>D24-F24</f>
        <v>32083</v>
      </c>
      <c r="H24" s="462"/>
      <c r="I24" s="489">
        <f>SUM(I21:I23)</f>
        <v>2688</v>
      </c>
      <c r="J24" s="461">
        <f>SUM(J21:J23)</f>
        <v>4317</v>
      </c>
      <c r="K24" s="489">
        <v>0</v>
      </c>
      <c r="L24" s="483">
        <f>M24+N24</f>
        <v>3234</v>
      </c>
      <c r="M24" s="490">
        <f>SUM(M21:M23)</f>
        <v>2879</v>
      </c>
      <c r="N24" s="490">
        <f>SUM(N21:N23)</f>
        <v>355</v>
      </c>
      <c r="O24" s="449">
        <f>P24+Q24</f>
        <v>4334</v>
      </c>
      <c r="P24" s="461">
        <f>SUM(P21:P23)</f>
        <v>3968</v>
      </c>
      <c r="Q24" s="461">
        <f>SUM(Q21:Q23)</f>
        <v>366</v>
      </c>
      <c r="R24" s="463"/>
      <c r="S24" s="463"/>
      <c r="T24" s="464" t="b">
        <f>N24+M24=L24</f>
        <v>1</v>
      </c>
      <c r="U24" s="462" t="b">
        <f>O24=P24+Q24</f>
        <v>1</v>
      </c>
      <c r="V24" s="465"/>
      <c r="W24" s="465"/>
      <c r="X24" s="466" t="s">
        <v>1841</v>
      </c>
      <c r="Y24" s="444">
        <f>Z24+AA24+AB24</f>
        <v>14207</v>
      </c>
      <c r="Z24" s="466">
        <f>SUM(Z22:Z23)</f>
        <v>2450</v>
      </c>
      <c r="AA24" s="466">
        <f>SUM(AA22:AA23)</f>
        <v>11581</v>
      </c>
      <c r="AB24" s="454">
        <f>SUM(AB22:AB23)</f>
        <v>176</v>
      </c>
      <c r="AC24" s="467"/>
      <c r="AD24" s="466">
        <f>SUM(AD22:AD23)</f>
        <v>9364</v>
      </c>
      <c r="AE24" s="466">
        <f>SUM(AE22:AE23)</f>
        <v>4487</v>
      </c>
      <c r="AF24" s="466">
        <f>SUM(AF22:AF23)</f>
        <v>374</v>
      </c>
      <c r="AG24" s="466">
        <f>SUM(AG22:AG23)</f>
        <v>0</v>
      </c>
      <c r="AH24" s="468"/>
      <c r="AI24" s="444">
        <f>AJ24+AK24</f>
        <v>19584</v>
      </c>
      <c r="AJ24" s="466">
        <f>SUM(AJ22:AJ23)</f>
        <v>1893</v>
      </c>
      <c r="AK24" s="466">
        <f>SUM(AK22:AK23)</f>
        <v>17691</v>
      </c>
      <c r="AL24" s="466">
        <f>SUM(AL22:AL23)</f>
        <v>14678</v>
      </c>
      <c r="AM24" s="466">
        <f>SUM(AM22:AM23)</f>
        <v>4906</v>
      </c>
      <c r="AN24" s="462" t="b">
        <f>AJ24+AK24=AL24+AM24</f>
        <v>1</v>
      </c>
      <c r="AO24" s="462" t="b">
        <f>D24=Y24+AI24</f>
        <v>1</v>
      </c>
      <c r="AP24" s="469"/>
    </row>
    <row r="25" spans="1:42" ht="12.75">
      <c r="A25" s="406"/>
      <c r="B25" s="406"/>
      <c r="C25" s="406"/>
      <c r="D25" s="406"/>
      <c r="E25" s="406"/>
      <c r="F25" s="471"/>
      <c r="G25" s="406"/>
      <c r="H25" s="406"/>
      <c r="I25" s="406"/>
      <c r="J25" s="406"/>
      <c r="K25" s="406"/>
      <c r="L25" s="491"/>
      <c r="M25" s="491"/>
      <c r="N25" s="491"/>
      <c r="O25" s="406"/>
      <c r="P25" s="406"/>
      <c r="Q25" s="406"/>
      <c r="R25" s="470"/>
      <c r="S25" s="470"/>
      <c r="T25" s="406"/>
      <c r="U25" s="406"/>
      <c r="V25" s="474"/>
      <c r="W25" s="474"/>
      <c r="X25" s="406"/>
      <c r="Y25" s="406"/>
      <c r="Z25" s="406"/>
      <c r="AA25" s="406"/>
      <c r="AB25" s="406"/>
      <c r="AC25" s="406"/>
      <c r="AD25" s="406"/>
      <c r="AE25" s="406"/>
      <c r="AF25" s="406"/>
      <c r="AG25" s="406"/>
      <c r="AH25" s="406"/>
      <c r="AI25" s="406"/>
      <c r="AJ25" s="406"/>
      <c r="AK25" s="406"/>
      <c r="AL25" s="406"/>
      <c r="AM25" s="406"/>
      <c r="AN25" s="406"/>
      <c r="AO25" s="406"/>
      <c r="AP25" s="406"/>
    </row>
    <row r="26" spans="1:42" ht="12.75">
      <c r="A26" s="406"/>
      <c r="B26" s="406"/>
      <c r="C26" s="406"/>
      <c r="D26" s="406"/>
      <c r="E26" s="406"/>
      <c r="F26" s="471"/>
      <c r="G26" s="406"/>
      <c r="H26" s="406"/>
      <c r="I26" s="406"/>
      <c r="J26" s="406"/>
      <c r="K26" s="406"/>
      <c r="L26" s="491"/>
      <c r="M26" s="491"/>
      <c r="N26" s="491"/>
      <c r="O26" s="406"/>
      <c r="P26" s="406"/>
      <c r="Q26" s="406"/>
      <c r="R26" s="470"/>
      <c r="S26" s="470"/>
      <c r="T26" s="406"/>
      <c r="U26" s="406"/>
      <c r="V26" s="474"/>
      <c r="W26" s="474"/>
      <c r="X26" s="406"/>
      <c r="Y26" s="406"/>
      <c r="Z26" s="406"/>
      <c r="AA26" s="406"/>
      <c r="AB26" s="406"/>
      <c r="AC26" s="406"/>
      <c r="AD26" s="406"/>
      <c r="AE26" s="406"/>
      <c r="AF26" s="406"/>
      <c r="AG26" s="406"/>
      <c r="AH26" s="406"/>
      <c r="AI26" s="406"/>
      <c r="AJ26" s="406"/>
      <c r="AK26" s="406"/>
      <c r="AL26" s="406"/>
      <c r="AM26" s="406"/>
      <c r="AN26" s="406"/>
      <c r="AO26" s="406"/>
      <c r="AP26" s="406"/>
    </row>
    <row r="27" spans="1:42" ht="12.75">
      <c r="A27" s="406"/>
      <c r="B27" s="406"/>
      <c r="C27" s="406"/>
      <c r="D27" s="406"/>
      <c r="E27" s="406"/>
      <c r="F27" s="406"/>
      <c r="G27" s="406"/>
      <c r="H27" s="406"/>
      <c r="I27" s="406"/>
      <c r="J27" s="406"/>
      <c r="K27" s="406"/>
      <c r="L27" s="491"/>
      <c r="M27" s="491"/>
      <c r="N27" s="491"/>
      <c r="O27" s="406"/>
      <c r="P27" s="406"/>
      <c r="Q27" s="406"/>
      <c r="R27" s="470"/>
      <c r="S27" s="470"/>
      <c r="T27" s="406"/>
      <c r="U27" s="406"/>
      <c r="V27" s="474"/>
      <c r="W27" s="474"/>
      <c r="X27" s="406"/>
      <c r="Y27" s="406"/>
      <c r="Z27" s="406"/>
      <c r="AA27" s="406"/>
      <c r="AB27" s="406"/>
      <c r="AC27" s="406"/>
      <c r="AD27" s="406"/>
      <c r="AE27" s="406"/>
      <c r="AF27" s="406"/>
      <c r="AG27" s="406"/>
      <c r="AH27" s="406"/>
      <c r="AI27" s="406"/>
      <c r="AJ27" s="406"/>
      <c r="AK27" s="406"/>
      <c r="AL27" s="406"/>
      <c r="AM27" s="406"/>
      <c r="AN27" s="406"/>
      <c r="AO27" s="406"/>
      <c r="AP27" s="406"/>
    </row>
    <row r="28" spans="1:42" ht="12.75">
      <c r="A28" s="407" t="s">
        <v>1843</v>
      </c>
      <c r="B28" s="402"/>
      <c r="C28" s="402"/>
      <c r="D28" s="402"/>
      <c r="E28" s="402"/>
      <c r="F28" s="402"/>
      <c r="G28" s="407"/>
      <c r="H28" s="407"/>
      <c r="I28" s="402"/>
      <c r="J28" s="402"/>
      <c r="K28" s="402"/>
      <c r="L28" s="491"/>
      <c r="M28" s="491"/>
      <c r="N28" s="491"/>
      <c r="O28" s="406"/>
      <c r="P28" s="492" t="s">
        <v>2136</v>
      </c>
      <c r="Q28" s="406"/>
      <c r="R28" s="470"/>
      <c r="S28" s="470"/>
      <c r="T28" s="406"/>
      <c r="U28" s="406"/>
      <c r="V28" s="474"/>
      <c r="W28" s="474"/>
      <c r="X28" s="407" t="s">
        <v>1843</v>
      </c>
      <c r="Y28" s="402"/>
      <c r="Z28" s="402"/>
      <c r="AA28" s="402"/>
      <c r="AB28" s="402"/>
      <c r="AC28" s="402"/>
      <c r="AD28" s="402"/>
      <c r="AE28" s="402"/>
      <c r="AF28" s="478"/>
      <c r="AG28" s="402"/>
      <c r="AH28" s="402"/>
      <c r="AI28" s="402"/>
      <c r="AJ28" s="406"/>
      <c r="AK28" s="409" t="s">
        <v>2140</v>
      </c>
      <c r="AL28" s="409"/>
      <c r="AM28" s="409"/>
      <c r="AN28" s="402"/>
      <c r="AO28" s="406"/>
      <c r="AP28" s="406"/>
    </row>
    <row r="29" spans="1:42" ht="13.5" thickBot="1">
      <c r="A29" s="402"/>
      <c r="B29" s="402"/>
      <c r="C29" s="402"/>
      <c r="D29" s="402"/>
      <c r="E29" s="402"/>
      <c r="F29" s="402"/>
      <c r="G29" s="402"/>
      <c r="H29" s="402"/>
      <c r="I29" s="402"/>
      <c r="J29" s="402"/>
      <c r="K29" s="402"/>
      <c r="L29" s="491"/>
      <c r="M29" s="491"/>
      <c r="N29" s="491"/>
      <c r="O29" s="406"/>
      <c r="P29" s="406"/>
      <c r="Q29" s="493"/>
      <c r="R29" s="463"/>
      <c r="S29" s="463"/>
      <c r="T29" s="406"/>
      <c r="U29" s="406"/>
      <c r="V29" s="474"/>
      <c r="W29" s="474"/>
      <c r="X29" s="402"/>
      <c r="Y29" s="402"/>
      <c r="Z29" s="402"/>
      <c r="AA29" s="402"/>
      <c r="AB29" s="402"/>
      <c r="AC29" s="402"/>
      <c r="AD29" s="402"/>
      <c r="AE29" s="402"/>
      <c r="AF29" s="402"/>
      <c r="AG29" s="402"/>
      <c r="AH29" s="402"/>
      <c r="AI29" s="402"/>
      <c r="AJ29" s="414"/>
      <c r="AK29" s="414"/>
      <c r="AL29" s="402"/>
      <c r="AM29" s="402"/>
      <c r="AN29" s="402"/>
      <c r="AO29" s="406"/>
      <c r="AP29" s="406"/>
    </row>
    <row r="30" spans="1:42" ht="24" customHeight="1" thickBot="1">
      <c r="A30" s="1503" t="s">
        <v>1806</v>
      </c>
      <c r="B30" s="1503" t="s">
        <v>2126</v>
      </c>
      <c r="C30" s="1503" t="s">
        <v>2127</v>
      </c>
      <c r="D30" s="1506" t="s">
        <v>2128</v>
      </c>
      <c r="E30" s="1507"/>
      <c r="F30" s="1507"/>
      <c r="G30" s="1507"/>
      <c r="H30" s="1507"/>
      <c r="I30" s="1507"/>
      <c r="J30" s="1507"/>
      <c r="K30" s="1508"/>
      <c r="L30" s="1509" t="s">
        <v>2164</v>
      </c>
      <c r="M30" s="1510"/>
      <c r="N30" s="1511"/>
      <c r="O30" s="1509" t="s">
        <v>2163</v>
      </c>
      <c r="P30" s="1510"/>
      <c r="Q30" s="1511"/>
      <c r="R30" s="414"/>
      <c r="S30" s="414"/>
      <c r="T30" s="1515" t="s">
        <v>1807</v>
      </c>
      <c r="U30" s="1516"/>
      <c r="V30" s="417"/>
      <c r="W30" s="417"/>
      <c r="X30" s="1503" t="s">
        <v>1806</v>
      </c>
      <c r="Y30" s="1506" t="s">
        <v>156</v>
      </c>
      <c r="Z30" s="1507"/>
      <c r="AA30" s="1507"/>
      <c r="AB30" s="1507"/>
      <c r="AC30" s="1507"/>
      <c r="AD30" s="1507"/>
      <c r="AE30" s="1507"/>
      <c r="AF30" s="1507"/>
      <c r="AG30" s="1507"/>
      <c r="AH30" s="1507"/>
      <c r="AI30" s="1507"/>
      <c r="AJ30" s="1507"/>
      <c r="AK30" s="1507"/>
      <c r="AL30" s="1507"/>
      <c r="AM30" s="1508"/>
      <c r="AN30" s="418"/>
      <c r="AO30" s="419"/>
      <c r="AP30" s="406"/>
    </row>
    <row r="31" spans="1:42" ht="20.25" customHeight="1" thickBot="1">
      <c r="A31" s="1521"/>
      <c r="B31" s="1504"/>
      <c r="C31" s="1504"/>
      <c r="D31" s="1521" t="s">
        <v>1681</v>
      </c>
      <c r="E31" s="1522" t="s">
        <v>1807</v>
      </c>
      <c r="F31" s="1525" t="s">
        <v>2129</v>
      </c>
      <c r="G31" s="1526"/>
      <c r="H31" s="1526"/>
      <c r="I31" s="1526"/>
      <c r="J31" s="1526"/>
      <c r="K31" s="1527"/>
      <c r="L31" s="1512"/>
      <c r="M31" s="1513"/>
      <c r="N31" s="1514"/>
      <c r="O31" s="1512"/>
      <c r="P31" s="1513"/>
      <c r="Q31" s="1514"/>
      <c r="R31" s="414"/>
      <c r="S31" s="414"/>
      <c r="T31" s="1517"/>
      <c r="U31" s="1518"/>
      <c r="V31" s="417"/>
      <c r="W31" s="417"/>
      <c r="X31" s="1504"/>
      <c r="Y31" s="1506" t="s">
        <v>1808</v>
      </c>
      <c r="Z31" s="1507"/>
      <c r="AA31" s="1507"/>
      <c r="AB31" s="1507"/>
      <c r="AC31" s="1507"/>
      <c r="AD31" s="1507"/>
      <c r="AE31" s="1507"/>
      <c r="AF31" s="1507"/>
      <c r="AG31" s="1508"/>
      <c r="AH31" s="1516" t="s">
        <v>1807</v>
      </c>
      <c r="AI31" s="1506" t="s">
        <v>1809</v>
      </c>
      <c r="AJ31" s="1507"/>
      <c r="AK31" s="1507"/>
      <c r="AL31" s="1507"/>
      <c r="AM31" s="1508"/>
      <c r="AN31" s="1517" t="s">
        <v>1807</v>
      </c>
      <c r="AO31" s="1518"/>
      <c r="AP31" s="406"/>
    </row>
    <row r="32" spans="1:42" ht="42" customHeight="1" thickBot="1">
      <c r="A32" s="1521"/>
      <c r="B32" s="1504"/>
      <c r="C32" s="1504"/>
      <c r="D32" s="1504"/>
      <c r="E32" s="1523"/>
      <c r="F32" s="1506" t="s">
        <v>1810</v>
      </c>
      <c r="G32" s="1508"/>
      <c r="H32" s="420" t="s">
        <v>1807</v>
      </c>
      <c r="I32" s="1503" t="s">
        <v>2131</v>
      </c>
      <c r="J32" s="1503" t="s">
        <v>1811</v>
      </c>
      <c r="K32" s="1503" t="s">
        <v>1812</v>
      </c>
      <c r="L32" s="1503" t="s">
        <v>1681</v>
      </c>
      <c r="M32" s="1506" t="s">
        <v>2129</v>
      </c>
      <c r="N32" s="1508"/>
      <c r="O32" s="1503" t="s">
        <v>1681</v>
      </c>
      <c r="P32" s="1506" t="s">
        <v>2129</v>
      </c>
      <c r="Q32" s="1508"/>
      <c r="R32" s="414"/>
      <c r="S32" s="414"/>
      <c r="T32" s="1517"/>
      <c r="U32" s="1518"/>
      <c r="V32" s="417"/>
      <c r="W32" s="417"/>
      <c r="X32" s="1504"/>
      <c r="Y32" s="1503" t="s">
        <v>1681</v>
      </c>
      <c r="Z32" s="1525" t="s">
        <v>1813</v>
      </c>
      <c r="AA32" s="1526"/>
      <c r="AB32" s="1527"/>
      <c r="AC32" s="420" t="s">
        <v>1807</v>
      </c>
      <c r="AD32" s="1506" t="s">
        <v>1683</v>
      </c>
      <c r="AE32" s="1530"/>
      <c r="AF32" s="1530"/>
      <c r="AG32" s="1531"/>
      <c r="AH32" s="1518"/>
      <c r="AI32" s="1503" t="s">
        <v>1681</v>
      </c>
      <c r="AJ32" s="1506" t="s">
        <v>1814</v>
      </c>
      <c r="AK32" s="1531"/>
      <c r="AL32" s="1506" t="s">
        <v>2135</v>
      </c>
      <c r="AM32" s="1531"/>
      <c r="AN32" s="1517"/>
      <c r="AO32" s="1518"/>
      <c r="AP32" s="406"/>
    </row>
    <row r="33" spans="1:42" ht="26.25" thickBot="1">
      <c r="A33" s="1528"/>
      <c r="B33" s="1505"/>
      <c r="C33" s="1505"/>
      <c r="D33" s="1505"/>
      <c r="E33" s="1524"/>
      <c r="F33" s="427" t="s">
        <v>2130</v>
      </c>
      <c r="G33" s="427" t="s">
        <v>1815</v>
      </c>
      <c r="H33" s="428"/>
      <c r="I33" s="1528"/>
      <c r="J33" s="1528"/>
      <c r="K33" s="1528"/>
      <c r="L33" s="1528"/>
      <c r="M33" s="422" t="s">
        <v>1816</v>
      </c>
      <c r="N33" s="421" t="s">
        <v>1817</v>
      </c>
      <c r="O33" s="1529"/>
      <c r="P33" s="411" t="s">
        <v>1816</v>
      </c>
      <c r="Q33" s="411" t="s">
        <v>1817</v>
      </c>
      <c r="R33" s="414"/>
      <c r="S33" s="414"/>
      <c r="T33" s="1519"/>
      <c r="U33" s="1520"/>
      <c r="V33" s="417"/>
      <c r="W33" s="417"/>
      <c r="X33" s="1505"/>
      <c r="Y33" s="1505"/>
      <c r="Z33" s="432">
        <v>2.5</v>
      </c>
      <c r="AA33" s="433">
        <v>2</v>
      </c>
      <c r="AB33" s="434" t="s">
        <v>157</v>
      </c>
      <c r="AC33" s="428"/>
      <c r="AD33" s="429" t="s">
        <v>1819</v>
      </c>
      <c r="AE33" s="429" t="s">
        <v>1845</v>
      </c>
      <c r="AF33" s="414" t="s">
        <v>1846</v>
      </c>
      <c r="AG33" s="429" t="s">
        <v>1847</v>
      </c>
      <c r="AH33" s="1520"/>
      <c r="AI33" s="1528"/>
      <c r="AJ33" s="435">
        <v>2</v>
      </c>
      <c r="AK33" s="429" t="s">
        <v>158</v>
      </c>
      <c r="AL33" s="429" t="s">
        <v>1822</v>
      </c>
      <c r="AM33" s="436" t="s">
        <v>1823</v>
      </c>
      <c r="AN33" s="1519"/>
      <c r="AO33" s="1520"/>
      <c r="AP33" s="406"/>
    </row>
    <row r="34" spans="1:42" ht="53.25" customHeight="1" thickBot="1">
      <c r="A34" s="412">
        <v>1</v>
      </c>
      <c r="B34" s="421" t="s">
        <v>1824</v>
      </c>
      <c r="C34" s="421">
        <v>3</v>
      </c>
      <c r="D34" s="421" t="s">
        <v>1825</v>
      </c>
      <c r="E34" s="437" t="s">
        <v>1826</v>
      </c>
      <c r="F34" s="411">
        <v>5</v>
      </c>
      <c r="G34" s="422">
        <v>6</v>
      </c>
      <c r="H34" s="437" t="s">
        <v>1827</v>
      </c>
      <c r="I34" s="421">
        <v>7</v>
      </c>
      <c r="J34" s="421">
        <v>8</v>
      </c>
      <c r="K34" s="411">
        <v>9</v>
      </c>
      <c r="L34" s="494" t="s">
        <v>1828</v>
      </c>
      <c r="M34" s="495">
        <v>11</v>
      </c>
      <c r="N34" s="496">
        <v>12</v>
      </c>
      <c r="O34" s="434" t="s">
        <v>1829</v>
      </c>
      <c r="P34" s="438">
        <v>14</v>
      </c>
      <c r="Q34" s="438">
        <v>15</v>
      </c>
      <c r="R34" s="439"/>
      <c r="S34" s="439"/>
      <c r="T34" s="440" t="s">
        <v>1830</v>
      </c>
      <c r="U34" s="440" t="s">
        <v>1831</v>
      </c>
      <c r="V34" s="441"/>
      <c r="W34" s="441"/>
      <c r="X34" s="412" t="s">
        <v>1832</v>
      </c>
      <c r="Y34" s="421" t="s">
        <v>1833</v>
      </c>
      <c r="Z34" s="421">
        <v>17</v>
      </c>
      <c r="AA34" s="421">
        <v>18</v>
      </c>
      <c r="AB34" s="421">
        <v>19</v>
      </c>
      <c r="AC34" s="437" t="s">
        <v>1834</v>
      </c>
      <c r="AD34" s="421">
        <v>20</v>
      </c>
      <c r="AE34" s="421">
        <v>21</v>
      </c>
      <c r="AF34" s="421">
        <v>22</v>
      </c>
      <c r="AG34" s="411">
        <v>23</v>
      </c>
      <c r="AH34" s="442" t="s">
        <v>1835</v>
      </c>
      <c r="AI34" s="421" t="s">
        <v>1836</v>
      </c>
      <c r="AJ34" s="421">
        <v>25</v>
      </c>
      <c r="AK34" s="411">
        <v>26</v>
      </c>
      <c r="AL34" s="411">
        <v>27</v>
      </c>
      <c r="AM34" s="434">
        <v>28</v>
      </c>
      <c r="AN34" s="440" t="s">
        <v>1837</v>
      </c>
      <c r="AO34" s="440" t="s">
        <v>1838</v>
      </c>
      <c r="AP34" s="406"/>
    </row>
    <row r="35" spans="1:42" ht="13.5" thickBot="1">
      <c r="A35" s="443" t="s">
        <v>1839</v>
      </c>
      <c r="B35" s="444">
        <f>Y35+AI35</f>
        <v>484369</v>
      </c>
      <c r="C35" s="445">
        <v>0</v>
      </c>
      <c r="D35" s="444">
        <v>484369</v>
      </c>
      <c r="E35" s="446"/>
      <c r="F35" s="444">
        <v>484369</v>
      </c>
      <c r="G35" s="448">
        <v>0</v>
      </c>
      <c r="H35" s="446"/>
      <c r="I35" s="447">
        <v>51681</v>
      </c>
      <c r="J35" s="447">
        <v>7397</v>
      </c>
      <c r="K35" s="447">
        <v>0</v>
      </c>
      <c r="L35" s="497">
        <f>M35+N35</f>
        <v>56432</v>
      </c>
      <c r="M35" s="498">
        <v>51600</v>
      </c>
      <c r="N35" s="485">
        <v>4832</v>
      </c>
      <c r="O35" s="449">
        <f>P35+Q35</f>
        <v>62407</v>
      </c>
      <c r="P35" s="447">
        <v>51689</v>
      </c>
      <c r="Q35" s="447">
        <v>10718</v>
      </c>
      <c r="R35" s="450"/>
      <c r="S35" s="450"/>
      <c r="T35" s="451" t="b">
        <f>N35+M35=L35</f>
        <v>1</v>
      </c>
      <c r="U35" s="452" t="b">
        <f>O35=P35+Q35</f>
        <v>1</v>
      </c>
      <c r="V35" s="453"/>
      <c r="W35" s="453"/>
      <c r="X35" s="454" t="s">
        <v>1839</v>
      </c>
      <c r="Y35" s="444">
        <f>Z35+AA35+AB35</f>
        <v>200531</v>
      </c>
      <c r="Z35" s="448">
        <v>191402</v>
      </c>
      <c r="AA35" s="447">
        <v>9059</v>
      </c>
      <c r="AB35" s="455">
        <v>70</v>
      </c>
      <c r="AC35" s="446"/>
      <c r="AD35" s="447">
        <v>130587</v>
      </c>
      <c r="AE35" s="448">
        <v>69944</v>
      </c>
      <c r="AF35" s="447">
        <v>0</v>
      </c>
      <c r="AG35" s="456">
        <v>0</v>
      </c>
      <c r="AH35" s="457"/>
      <c r="AI35" s="444">
        <f>AJ35+AK35</f>
        <v>283838</v>
      </c>
      <c r="AJ35" s="448">
        <v>33500</v>
      </c>
      <c r="AK35" s="458">
        <v>250338</v>
      </c>
      <c r="AL35" s="448">
        <v>190569</v>
      </c>
      <c r="AM35" s="447">
        <v>93269</v>
      </c>
      <c r="AN35" s="446" t="b">
        <f>AJ35+AK35=AL35+AM35</f>
        <v>1</v>
      </c>
      <c r="AO35" s="446" t="b">
        <f>D35=Y35+AI35</f>
        <v>1</v>
      </c>
      <c r="AP35" s="406"/>
    </row>
    <row r="36" spans="1:42" ht="13.5" thickBot="1">
      <c r="A36" s="443" t="s">
        <v>1840</v>
      </c>
      <c r="B36" s="444">
        <f>Y36+AI36</f>
        <v>36856</v>
      </c>
      <c r="C36" s="445">
        <v>0</v>
      </c>
      <c r="D36" s="444">
        <v>36856</v>
      </c>
      <c r="E36" s="446"/>
      <c r="F36" s="444">
        <v>36856</v>
      </c>
      <c r="G36" s="448">
        <v>0</v>
      </c>
      <c r="H36" s="446"/>
      <c r="I36" s="447">
        <v>3800</v>
      </c>
      <c r="J36" s="447">
        <v>5022</v>
      </c>
      <c r="K36" s="447">
        <v>0</v>
      </c>
      <c r="L36" s="497">
        <f>M36+N36</f>
        <v>3511</v>
      </c>
      <c r="M36" s="486">
        <v>3500</v>
      </c>
      <c r="N36" s="487">
        <v>11</v>
      </c>
      <c r="O36" s="449">
        <f>P36+Q36</f>
        <v>14710</v>
      </c>
      <c r="P36" s="460">
        <v>13052</v>
      </c>
      <c r="Q36" s="460">
        <v>1658</v>
      </c>
      <c r="R36" s="450"/>
      <c r="S36" s="450"/>
      <c r="T36" s="451" t="b">
        <f>N36+M36=L36</f>
        <v>1</v>
      </c>
      <c r="U36" s="452" t="b">
        <f>O36=P36+Q36</f>
        <v>1</v>
      </c>
      <c r="V36" s="453"/>
      <c r="W36" s="453"/>
      <c r="X36" s="454" t="s">
        <v>1840</v>
      </c>
      <c r="Y36" s="444">
        <f>Z36+AA36+AB36</f>
        <v>22106</v>
      </c>
      <c r="Z36" s="448">
        <v>6</v>
      </c>
      <c r="AA36" s="447">
        <v>21689</v>
      </c>
      <c r="AB36" s="455">
        <v>411</v>
      </c>
      <c r="AC36" s="446"/>
      <c r="AD36" s="447">
        <v>19782</v>
      </c>
      <c r="AE36" s="448">
        <v>21411</v>
      </c>
      <c r="AF36" s="447">
        <v>0</v>
      </c>
      <c r="AG36" s="456">
        <v>0</v>
      </c>
      <c r="AH36" s="457"/>
      <c r="AI36" s="444">
        <f>AJ36+AK36</f>
        <v>14750</v>
      </c>
      <c r="AJ36" s="448">
        <v>1</v>
      </c>
      <c r="AK36" s="458">
        <v>14749</v>
      </c>
      <c r="AL36" s="448">
        <v>11375</v>
      </c>
      <c r="AM36" s="447">
        <v>3375</v>
      </c>
      <c r="AN36" s="446" t="b">
        <f>AJ36+AK36=AL36+AM36</f>
        <v>1</v>
      </c>
      <c r="AO36" s="446" t="b">
        <f>D36=Y36+AI36</f>
        <v>1</v>
      </c>
      <c r="AP36" s="406"/>
    </row>
    <row r="37" spans="1:42" s="35" customFormat="1" ht="14.25" thickBot="1">
      <c r="A37" s="461" t="s">
        <v>1841</v>
      </c>
      <c r="B37" s="444">
        <f>SUM(B35:B36)</f>
        <v>521225</v>
      </c>
      <c r="C37" s="443">
        <v>0</v>
      </c>
      <c r="D37" s="444">
        <v>521225</v>
      </c>
      <c r="E37" s="462"/>
      <c r="F37" s="444">
        <v>521225</v>
      </c>
      <c r="G37" s="461">
        <v>0</v>
      </c>
      <c r="H37" s="462"/>
      <c r="I37" s="461">
        <f>SUM(I35:I36)</f>
        <v>55481</v>
      </c>
      <c r="J37" s="461">
        <f>SUM(J35:J36)</f>
        <v>12419</v>
      </c>
      <c r="K37" s="461">
        <v>0</v>
      </c>
      <c r="L37" s="497">
        <f>M37+N37</f>
        <v>59966</v>
      </c>
      <c r="M37" s="490">
        <f>SUM(M34:M36)</f>
        <v>55111</v>
      </c>
      <c r="N37" s="490">
        <f>SUM(N34:N36)</f>
        <v>4855</v>
      </c>
      <c r="O37" s="449">
        <f>P37+Q37</f>
        <v>77146</v>
      </c>
      <c r="P37" s="461">
        <f>SUM(P34:P36)</f>
        <v>64755</v>
      </c>
      <c r="Q37" s="461">
        <f>SUM(Q34:Q36)</f>
        <v>12391</v>
      </c>
      <c r="R37" s="463"/>
      <c r="S37" s="463"/>
      <c r="T37" s="464" t="b">
        <f>N37+M37=L37</f>
        <v>1</v>
      </c>
      <c r="U37" s="462" t="b">
        <f>O37=P37+Q37</f>
        <v>1</v>
      </c>
      <c r="V37" s="465"/>
      <c r="W37" s="465"/>
      <c r="X37" s="466" t="s">
        <v>1841</v>
      </c>
      <c r="Y37" s="444">
        <f>Z37+AA37+AB37</f>
        <v>222637</v>
      </c>
      <c r="Z37" s="466">
        <f>SUM(Z35:Z36)</f>
        <v>191408</v>
      </c>
      <c r="AA37" s="466">
        <f>SUM(AA35:AA36)</f>
        <v>30748</v>
      </c>
      <c r="AB37" s="466">
        <f>SUM(AB35:AB36)</f>
        <v>481</v>
      </c>
      <c r="AC37" s="467"/>
      <c r="AD37" s="466">
        <f>SUM(AD35:AD36)</f>
        <v>150369</v>
      </c>
      <c r="AE37" s="466">
        <f>SUM(AE35:AE36)</f>
        <v>91355</v>
      </c>
      <c r="AF37" s="466">
        <f>SUM(AF35:AF36)</f>
        <v>0</v>
      </c>
      <c r="AG37" s="466">
        <f>SUM(AG35:AG36)</f>
        <v>0</v>
      </c>
      <c r="AH37" s="468"/>
      <c r="AI37" s="444">
        <f>AJ37+AK37</f>
        <v>298588</v>
      </c>
      <c r="AJ37" s="466">
        <f>SUM(AJ35:AJ36)</f>
        <v>33501</v>
      </c>
      <c r="AK37" s="466">
        <f>SUM(AK35:AK36)</f>
        <v>265087</v>
      </c>
      <c r="AL37" s="466">
        <f>SUM(AL35:AL36)</f>
        <v>201944</v>
      </c>
      <c r="AM37" s="466">
        <f>SUM(AM35:AM36)</f>
        <v>96644</v>
      </c>
      <c r="AN37" s="462" t="b">
        <f>AJ37+AK37=AL37+AM37</f>
        <v>1</v>
      </c>
      <c r="AO37" s="499" t="b">
        <f>D37=Y37+AI37</f>
        <v>1</v>
      </c>
      <c r="AP37" s="469"/>
    </row>
    <row r="38" spans="1:42" s="38" customFormat="1" ht="12.75">
      <c r="A38" s="414"/>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500"/>
      <c r="AP38" s="500"/>
    </row>
    <row r="39" spans="1:42" ht="12.75">
      <c r="A39" s="406"/>
      <c r="B39" s="406"/>
      <c r="C39" s="406"/>
      <c r="D39" s="406"/>
      <c r="E39" s="406"/>
      <c r="F39" s="402"/>
      <c r="G39" s="406"/>
      <c r="H39" s="406"/>
      <c r="I39" s="406"/>
      <c r="J39" s="406"/>
      <c r="K39" s="406"/>
      <c r="L39" s="406"/>
      <c r="M39" s="406"/>
      <c r="N39" s="406"/>
      <c r="O39" s="406"/>
      <c r="P39" s="406"/>
      <c r="Q39" s="406"/>
      <c r="R39" s="470"/>
      <c r="S39" s="470"/>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row>
    <row r="40" spans="1:42" ht="12.75">
      <c r="A40" s="407" t="s">
        <v>1686</v>
      </c>
      <c r="B40" s="402"/>
      <c r="C40" s="402"/>
      <c r="D40" s="402"/>
      <c r="E40" s="402"/>
      <c r="F40" s="406"/>
      <c r="G40" s="407"/>
      <c r="H40" s="407"/>
      <c r="I40" s="402"/>
      <c r="J40" s="402"/>
      <c r="K40" s="402"/>
      <c r="L40" s="402"/>
      <c r="M40" s="402"/>
      <c r="N40" s="402"/>
      <c r="O40" s="402"/>
      <c r="P40" s="402"/>
      <c r="Q40" s="402"/>
      <c r="R40" s="463" t="s">
        <v>2137</v>
      </c>
      <c r="S40" s="403"/>
      <c r="T40" s="402"/>
      <c r="U40" s="408" t="s">
        <v>1848</v>
      </c>
      <c r="V40" s="408"/>
      <c r="W40" s="402"/>
      <c r="X40" s="407" t="s">
        <v>1686</v>
      </c>
      <c r="Y40" s="402"/>
      <c r="Z40" s="402"/>
      <c r="AA40" s="402"/>
      <c r="AB40" s="402"/>
      <c r="AC40" s="402"/>
      <c r="AD40" s="402"/>
      <c r="AE40" s="402"/>
      <c r="AF40" s="478"/>
      <c r="AG40" s="402"/>
      <c r="AH40" s="402"/>
      <c r="AI40" s="402"/>
      <c r="AJ40" s="406"/>
      <c r="AK40" s="409" t="s">
        <v>2141</v>
      </c>
      <c r="AL40" s="409"/>
      <c r="AM40" s="409"/>
      <c r="AN40" s="402"/>
      <c r="AO40" s="406"/>
      <c r="AP40" s="406"/>
    </row>
    <row r="41" spans="1:42" ht="13.5" thickBot="1">
      <c r="A41" s="402"/>
      <c r="B41" s="402"/>
      <c r="C41" s="402"/>
      <c r="D41" s="402"/>
      <c r="E41" s="402"/>
      <c r="F41" s="402"/>
      <c r="G41" s="402"/>
      <c r="H41" s="402"/>
      <c r="I41" s="402"/>
      <c r="J41" s="402"/>
      <c r="K41" s="402"/>
      <c r="L41" s="402"/>
      <c r="M41" s="402"/>
      <c r="N41" s="402"/>
      <c r="O41" s="402"/>
      <c r="P41" s="402"/>
      <c r="Q41" s="402"/>
      <c r="R41" s="403"/>
      <c r="S41" s="403"/>
      <c r="T41" s="402"/>
      <c r="U41" s="402"/>
      <c r="V41" s="402"/>
      <c r="W41" s="402"/>
      <c r="X41" s="402"/>
      <c r="Y41" s="402"/>
      <c r="Z41" s="402"/>
      <c r="AA41" s="402"/>
      <c r="AB41" s="402"/>
      <c r="AC41" s="402"/>
      <c r="AD41" s="402"/>
      <c r="AE41" s="402"/>
      <c r="AF41" s="402"/>
      <c r="AG41" s="402"/>
      <c r="AH41" s="402"/>
      <c r="AI41" s="402"/>
      <c r="AJ41" s="414"/>
      <c r="AK41" s="414"/>
      <c r="AL41" s="402"/>
      <c r="AM41" s="402"/>
      <c r="AN41" s="402"/>
      <c r="AO41" s="406"/>
      <c r="AP41" s="406"/>
    </row>
    <row r="42" spans="1:130" ht="13.5" customHeight="1" thickBot="1">
      <c r="A42" s="1503" t="s">
        <v>1806</v>
      </c>
      <c r="B42" s="1503" t="s">
        <v>2126</v>
      </c>
      <c r="C42" s="1503" t="s">
        <v>2127</v>
      </c>
      <c r="D42" s="1506" t="s">
        <v>1844</v>
      </c>
      <c r="E42" s="1507"/>
      <c r="F42" s="1507"/>
      <c r="G42" s="1507"/>
      <c r="H42" s="1507"/>
      <c r="I42" s="1507"/>
      <c r="J42" s="1507"/>
      <c r="K42" s="1507"/>
      <c r="L42" s="1507"/>
      <c r="M42" s="1508"/>
      <c r="N42" s="1509" t="s">
        <v>2164</v>
      </c>
      <c r="O42" s="1510"/>
      <c r="P42" s="1511"/>
      <c r="Q42" s="1509" t="s">
        <v>2163</v>
      </c>
      <c r="R42" s="1510"/>
      <c r="S42" s="1511"/>
      <c r="T42" s="415" t="s">
        <v>1807</v>
      </c>
      <c r="U42" s="416"/>
      <c r="V42" s="420" t="s">
        <v>1807</v>
      </c>
      <c r="W42" s="501"/>
      <c r="X42" s="1503" t="s">
        <v>1806</v>
      </c>
      <c r="Y42" s="1506" t="s">
        <v>156</v>
      </c>
      <c r="Z42" s="1507"/>
      <c r="AA42" s="1507"/>
      <c r="AB42" s="1507"/>
      <c r="AC42" s="1507"/>
      <c r="AD42" s="1507"/>
      <c r="AE42" s="1507"/>
      <c r="AF42" s="1507"/>
      <c r="AG42" s="1507"/>
      <c r="AH42" s="1507"/>
      <c r="AI42" s="1507"/>
      <c r="AJ42" s="1507"/>
      <c r="AK42" s="1507"/>
      <c r="AL42" s="1507"/>
      <c r="AM42" s="1508"/>
      <c r="AN42" s="418"/>
      <c r="AO42" s="419"/>
      <c r="AP42" s="470"/>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row>
    <row r="43" spans="1:130" ht="30" customHeight="1" thickBot="1">
      <c r="A43" s="1521"/>
      <c r="B43" s="1504"/>
      <c r="C43" s="1504"/>
      <c r="D43" s="1532" t="s">
        <v>1681</v>
      </c>
      <c r="E43" s="1522" t="s">
        <v>1807</v>
      </c>
      <c r="F43" s="1506" t="s">
        <v>2129</v>
      </c>
      <c r="G43" s="1507"/>
      <c r="H43" s="1507"/>
      <c r="I43" s="1507"/>
      <c r="J43" s="1507"/>
      <c r="K43" s="1507"/>
      <c r="L43" s="1507"/>
      <c r="M43" s="1508"/>
      <c r="N43" s="1512"/>
      <c r="O43" s="1513"/>
      <c r="P43" s="1514"/>
      <c r="Q43" s="1512"/>
      <c r="R43" s="1513"/>
      <c r="S43" s="1514"/>
      <c r="T43" s="423"/>
      <c r="U43" s="424"/>
      <c r="V43" s="425"/>
      <c r="W43" s="470"/>
      <c r="X43" s="1521"/>
      <c r="Y43" s="1506" t="s">
        <v>1808</v>
      </c>
      <c r="Z43" s="1507"/>
      <c r="AA43" s="1507"/>
      <c r="AB43" s="1507"/>
      <c r="AC43" s="1507"/>
      <c r="AD43" s="1507"/>
      <c r="AE43" s="1507"/>
      <c r="AF43" s="1507"/>
      <c r="AG43" s="1508"/>
      <c r="AH43" s="420" t="s">
        <v>1807</v>
      </c>
      <c r="AI43" s="1536" t="s">
        <v>1809</v>
      </c>
      <c r="AJ43" s="1537"/>
      <c r="AK43" s="1537"/>
      <c r="AL43" s="1537"/>
      <c r="AM43" s="1538"/>
      <c r="AN43" s="423" t="s">
        <v>1807</v>
      </c>
      <c r="AO43" s="424"/>
      <c r="AP43" s="470"/>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row>
    <row r="44" spans="1:130" ht="27" customHeight="1" thickBot="1">
      <c r="A44" s="1521"/>
      <c r="B44" s="1504"/>
      <c r="C44" s="1504"/>
      <c r="D44" s="1521"/>
      <c r="E44" s="1523"/>
      <c r="F44" s="1506" t="s">
        <v>1810</v>
      </c>
      <c r="G44" s="1508"/>
      <c r="H44" s="420" t="s">
        <v>1807</v>
      </c>
      <c r="I44" s="1525" t="s">
        <v>1849</v>
      </c>
      <c r="J44" s="1525" t="s">
        <v>1850</v>
      </c>
      <c r="K44" s="1503" t="s">
        <v>1851</v>
      </c>
      <c r="L44" s="1503" t="s">
        <v>1811</v>
      </c>
      <c r="M44" s="1503" t="s">
        <v>1812</v>
      </c>
      <c r="N44" s="1503" t="s">
        <v>1681</v>
      </c>
      <c r="O44" s="1506" t="s">
        <v>2129</v>
      </c>
      <c r="P44" s="1508"/>
      <c r="Q44" s="1503" t="s">
        <v>1681</v>
      </c>
      <c r="R44" s="1506" t="s">
        <v>1682</v>
      </c>
      <c r="S44" s="1508"/>
      <c r="T44" s="423"/>
      <c r="U44" s="424"/>
      <c r="V44" s="425"/>
      <c r="W44" s="470"/>
      <c r="X44" s="1521"/>
      <c r="Y44" s="1503" t="s">
        <v>1681</v>
      </c>
      <c r="Z44" s="1525" t="s">
        <v>1813</v>
      </c>
      <c r="AA44" s="1526"/>
      <c r="AB44" s="1527"/>
      <c r="AC44" s="420" t="s">
        <v>1807</v>
      </c>
      <c r="AD44" s="1525" t="s">
        <v>1684</v>
      </c>
      <c r="AE44" s="1526"/>
      <c r="AF44" s="1526"/>
      <c r="AG44" s="1527"/>
      <c r="AH44" s="425"/>
      <c r="AI44" s="1503" t="s">
        <v>1681</v>
      </c>
      <c r="AJ44" s="1506" t="s">
        <v>1814</v>
      </c>
      <c r="AK44" s="1508"/>
      <c r="AL44" s="1534" t="s">
        <v>1685</v>
      </c>
      <c r="AM44" s="1535"/>
      <c r="AN44" s="423"/>
      <c r="AO44" s="424"/>
      <c r="AP44" s="470"/>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row>
    <row r="45" spans="1:130" ht="38.25" customHeight="1" thickBot="1">
      <c r="A45" s="1528"/>
      <c r="B45" s="1505"/>
      <c r="C45" s="1505"/>
      <c r="D45" s="1528"/>
      <c r="E45" s="1524"/>
      <c r="F45" s="427" t="s">
        <v>2130</v>
      </c>
      <c r="G45" s="427" t="s">
        <v>1815</v>
      </c>
      <c r="H45" s="428"/>
      <c r="I45" s="1533"/>
      <c r="J45" s="1533"/>
      <c r="K45" s="1528"/>
      <c r="L45" s="1528"/>
      <c r="M45" s="1528"/>
      <c r="N45" s="1528"/>
      <c r="O45" s="422" t="s">
        <v>1816</v>
      </c>
      <c r="P45" s="421" t="s">
        <v>1817</v>
      </c>
      <c r="Q45" s="1528"/>
      <c r="R45" s="411" t="s">
        <v>1816</v>
      </c>
      <c r="S45" s="434" t="s">
        <v>1817</v>
      </c>
      <c r="T45" s="430"/>
      <c r="U45" s="431"/>
      <c r="V45" s="426"/>
      <c r="W45" s="470"/>
      <c r="X45" s="1528"/>
      <c r="Y45" s="1528"/>
      <c r="Z45" s="433">
        <v>2.5</v>
      </c>
      <c r="AA45" s="502">
        <v>2</v>
      </c>
      <c r="AB45" s="434" t="s">
        <v>157</v>
      </c>
      <c r="AC45" s="428"/>
      <c r="AD45" s="434" t="s">
        <v>1819</v>
      </c>
      <c r="AE45" s="434" t="s">
        <v>1845</v>
      </c>
      <c r="AF45" s="413" t="s">
        <v>1846</v>
      </c>
      <c r="AG45" s="434" t="s">
        <v>1847</v>
      </c>
      <c r="AH45" s="426"/>
      <c r="AI45" s="1528"/>
      <c r="AJ45" s="435">
        <v>2</v>
      </c>
      <c r="AK45" s="429" t="s">
        <v>158</v>
      </c>
      <c r="AL45" s="429" t="s">
        <v>1822</v>
      </c>
      <c r="AM45" s="436" t="s">
        <v>1823</v>
      </c>
      <c r="AN45" s="430"/>
      <c r="AO45" s="431"/>
      <c r="AP45" s="470"/>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row>
    <row r="46" spans="1:130" ht="32.25" customHeight="1" thickBot="1">
      <c r="A46" s="412">
        <v>1</v>
      </c>
      <c r="B46" s="412" t="s">
        <v>1824</v>
      </c>
      <c r="C46" s="412">
        <v>3</v>
      </c>
      <c r="D46" s="412" t="s">
        <v>1852</v>
      </c>
      <c r="E46" s="503" t="s">
        <v>1826</v>
      </c>
      <c r="F46" s="434">
        <v>5</v>
      </c>
      <c r="G46" s="413">
        <v>6</v>
      </c>
      <c r="H46" s="503" t="s">
        <v>1827</v>
      </c>
      <c r="I46" s="412">
        <v>7</v>
      </c>
      <c r="J46" s="412">
        <v>8</v>
      </c>
      <c r="K46" s="434">
        <v>9</v>
      </c>
      <c r="L46" s="434">
        <v>10</v>
      </c>
      <c r="M46" s="432">
        <v>11</v>
      </c>
      <c r="N46" s="434" t="s">
        <v>1687</v>
      </c>
      <c r="O46" s="438">
        <v>13</v>
      </c>
      <c r="P46" s="438">
        <v>14</v>
      </c>
      <c r="Q46" s="438" t="s">
        <v>1688</v>
      </c>
      <c r="R46" s="438">
        <v>16</v>
      </c>
      <c r="S46" s="504">
        <v>17</v>
      </c>
      <c r="T46" s="505" t="s">
        <v>1831</v>
      </c>
      <c r="U46" s="506" t="s">
        <v>1853</v>
      </c>
      <c r="V46" s="505" t="s">
        <v>1854</v>
      </c>
      <c r="W46" s="470"/>
      <c r="X46" s="412" t="s">
        <v>1832</v>
      </c>
      <c r="Y46" s="421" t="s">
        <v>1689</v>
      </c>
      <c r="Z46" s="421">
        <v>19</v>
      </c>
      <c r="AA46" s="421">
        <v>20</v>
      </c>
      <c r="AB46" s="421">
        <v>21</v>
      </c>
      <c r="AC46" s="507" t="s">
        <v>1834</v>
      </c>
      <c r="AD46" s="421">
        <v>22</v>
      </c>
      <c r="AE46" s="421">
        <v>23</v>
      </c>
      <c r="AF46" s="421">
        <v>24</v>
      </c>
      <c r="AG46" s="411">
        <v>25</v>
      </c>
      <c r="AH46" s="508" t="s">
        <v>1835</v>
      </c>
      <c r="AI46" s="421" t="s">
        <v>1690</v>
      </c>
      <c r="AJ46" s="421">
        <v>27</v>
      </c>
      <c r="AK46" s="411">
        <v>28</v>
      </c>
      <c r="AL46" s="411">
        <v>29</v>
      </c>
      <c r="AM46" s="434">
        <v>30</v>
      </c>
      <c r="AN46" s="440" t="s">
        <v>1837</v>
      </c>
      <c r="AO46" s="440" t="s">
        <v>1838</v>
      </c>
      <c r="AP46" s="470"/>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row>
    <row r="47" spans="1:130" ht="13.5" thickBot="1">
      <c r="A47" s="509" t="s">
        <v>1839</v>
      </c>
      <c r="B47" s="509">
        <f>B10+B22+B35</f>
        <v>499421</v>
      </c>
      <c r="C47" s="509">
        <f aca="true" t="shared" si="0" ref="C47:J47">C10+C22+C35</f>
        <v>0</v>
      </c>
      <c r="D47" s="509">
        <f t="shared" si="0"/>
        <v>499421</v>
      </c>
      <c r="E47" s="509">
        <f t="shared" si="0"/>
        <v>0</v>
      </c>
      <c r="F47" s="509">
        <f t="shared" si="0"/>
        <v>484387</v>
      </c>
      <c r="G47" s="509">
        <f t="shared" si="0"/>
        <v>15034</v>
      </c>
      <c r="H47" s="509">
        <f t="shared" si="0"/>
        <v>0</v>
      </c>
      <c r="I47" s="509">
        <f t="shared" si="0"/>
        <v>52275</v>
      </c>
      <c r="J47" s="509">
        <f t="shared" si="0"/>
        <v>8096</v>
      </c>
      <c r="K47" s="509">
        <f>I10+I22+I35</f>
        <v>52275</v>
      </c>
      <c r="L47" s="509">
        <f>J10+J35</f>
        <v>7427</v>
      </c>
      <c r="M47" s="510">
        <v>0</v>
      </c>
      <c r="N47" s="511">
        <f>O47+P47</f>
        <v>57296</v>
      </c>
      <c r="O47" s="512">
        <f aca="true" t="shared" si="1" ref="O47:P49">M10+M22+M35</f>
        <v>52324</v>
      </c>
      <c r="P47" s="511">
        <f t="shared" si="1"/>
        <v>4972</v>
      </c>
      <c r="Q47" s="512">
        <f>R47+S47</f>
        <v>63452</v>
      </c>
      <c r="R47" s="511">
        <f>P10+P35+P22</f>
        <v>52596</v>
      </c>
      <c r="S47" s="512">
        <f>Q10+Q22+Q35</f>
        <v>10856</v>
      </c>
      <c r="T47" s="451" t="b">
        <f>N47+M47=L47</f>
        <v>0</v>
      </c>
      <c r="U47" s="452" t="b">
        <f>Q47=R47+S47</f>
        <v>1</v>
      </c>
      <c r="V47" s="513" t="b">
        <f>D47=I47+J47</f>
        <v>0</v>
      </c>
      <c r="W47" s="470"/>
      <c r="X47" s="443" t="s">
        <v>1839</v>
      </c>
      <c r="Y47" s="514">
        <f>Y35+Y22+Y10</f>
        <v>205507</v>
      </c>
      <c r="Z47" s="514">
        <f aca="true" t="shared" si="2" ref="Z47:AM47">Z35+Z22+Z10</f>
        <v>194009</v>
      </c>
      <c r="AA47" s="514">
        <f t="shared" si="2"/>
        <v>11411</v>
      </c>
      <c r="AB47" s="514">
        <f t="shared" si="2"/>
        <v>87</v>
      </c>
      <c r="AC47" s="514">
        <f t="shared" si="2"/>
        <v>0</v>
      </c>
      <c r="AD47" s="514">
        <f t="shared" si="2"/>
        <v>133141</v>
      </c>
      <c r="AE47" s="514">
        <f t="shared" si="2"/>
        <v>71966</v>
      </c>
      <c r="AF47" s="514">
        <v>0</v>
      </c>
      <c r="AG47" s="514">
        <f t="shared" si="2"/>
        <v>0</v>
      </c>
      <c r="AH47" s="514">
        <f t="shared" si="2"/>
        <v>0</v>
      </c>
      <c r="AI47" s="514">
        <f t="shared" si="2"/>
        <v>293914</v>
      </c>
      <c r="AJ47" s="514">
        <f t="shared" si="2"/>
        <v>35517</v>
      </c>
      <c r="AK47" s="514">
        <f t="shared" si="2"/>
        <v>258397</v>
      </c>
      <c r="AL47" s="514">
        <f t="shared" si="2"/>
        <v>197972</v>
      </c>
      <c r="AM47" s="514">
        <f t="shared" si="2"/>
        <v>95942</v>
      </c>
      <c r="AN47" s="446" t="b">
        <f>AJ47+AK47=AL47+AM47</f>
        <v>1</v>
      </c>
      <c r="AO47" s="446" t="b">
        <f>D47=Y47+AI47</f>
        <v>1</v>
      </c>
      <c r="AP47" s="470"/>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row>
    <row r="48" spans="1:130" ht="13.5" thickBot="1">
      <c r="A48" s="515" t="s">
        <v>1840</v>
      </c>
      <c r="B48" s="509">
        <f aca="true" t="shared" si="3" ref="B48:G49">B11+B23+B36</f>
        <v>60056</v>
      </c>
      <c r="C48" s="509">
        <f t="shared" si="3"/>
        <v>0</v>
      </c>
      <c r="D48" s="509">
        <f t="shared" si="3"/>
        <v>60056</v>
      </c>
      <c r="E48" s="509">
        <f t="shared" si="3"/>
        <v>0</v>
      </c>
      <c r="F48" s="509">
        <f t="shared" si="3"/>
        <v>38711</v>
      </c>
      <c r="G48" s="509">
        <f t="shared" si="3"/>
        <v>21345</v>
      </c>
      <c r="H48" s="516"/>
      <c r="I48" s="514">
        <v>33038</v>
      </c>
      <c r="J48" s="514">
        <v>27018</v>
      </c>
      <c r="K48" s="517">
        <f>I11+I23+I36</f>
        <v>6137</v>
      </c>
      <c r="L48" s="517">
        <f>J11+J36</f>
        <v>6060</v>
      </c>
      <c r="M48" s="518">
        <v>0</v>
      </c>
      <c r="N48" s="511">
        <f>O48+P48</f>
        <v>6354</v>
      </c>
      <c r="O48" s="512">
        <f t="shared" si="1"/>
        <v>5955</v>
      </c>
      <c r="P48" s="511">
        <f t="shared" si="1"/>
        <v>399</v>
      </c>
      <c r="Q48" s="512">
        <f>R48+S48</f>
        <v>18870</v>
      </c>
      <c r="R48" s="511">
        <f>P11+P36+P23</f>
        <v>16498</v>
      </c>
      <c r="S48" s="512">
        <f>Q11+Q23+Q36</f>
        <v>2372</v>
      </c>
      <c r="T48" s="519" t="b">
        <f>N48+M48=L48</f>
        <v>0</v>
      </c>
      <c r="U48" s="516" t="b">
        <f>Q48=R48+S48</f>
        <v>1</v>
      </c>
      <c r="V48" s="520" t="b">
        <f>D48=I48+J48</f>
        <v>1</v>
      </c>
      <c r="W48" s="470"/>
      <c r="X48" s="443" t="s">
        <v>1840</v>
      </c>
      <c r="Y48" s="514">
        <f aca="true" t="shared" si="4" ref="Y48:AN49">Y36+Y23+Y11</f>
        <v>33038</v>
      </c>
      <c r="Z48" s="514">
        <f t="shared" si="4"/>
        <v>8</v>
      </c>
      <c r="AA48" s="514">
        <f t="shared" si="4"/>
        <v>32432</v>
      </c>
      <c r="AB48" s="514">
        <f t="shared" si="4"/>
        <v>598</v>
      </c>
      <c r="AC48" s="514">
        <f t="shared" si="4"/>
        <v>0</v>
      </c>
      <c r="AD48" s="514">
        <f t="shared" si="4"/>
        <v>27924</v>
      </c>
      <c r="AE48" s="514">
        <f t="shared" si="4"/>
        <v>24219</v>
      </c>
      <c r="AF48" s="514">
        <f t="shared" si="4"/>
        <v>0</v>
      </c>
      <c r="AG48" s="514">
        <f t="shared" si="4"/>
        <v>0</v>
      </c>
      <c r="AH48" s="514">
        <f t="shared" si="4"/>
        <v>0</v>
      </c>
      <c r="AI48" s="514">
        <f t="shared" si="4"/>
        <v>27018</v>
      </c>
      <c r="AJ48" s="514">
        <f t="shared" si="4"/>
        <v>6</v>
      </c>
      <c r="AK48" s="514">
        <f t="shared" si="4"/>
        <v>27012</v>
      </c>
      <c r="AL48" s="514">
        <f t="shared" si="4"/>
        <v>20996</v>
      </c>
      <c r="AM48" s="514">
        <f t="shared" si="4"/>
        <v>6022</v>
      </c>
      <c r="AN48" s="514">
        <f t="shared" si="4"/>
        <v>3</v>
      </c>
      <c r="AO48" s="514">
        <f>AO36+AO23+AO11</f>
        <v>2</v>
      </c>
      <c r="AP48" s="470"/>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row>
    <row r="49" spans="1:130" s="35" customFormat="1" ht="14.25" thickBot="1">
      <c r="A49" s="412" t="s">
        <v>2089</v>
      </c>
      <c r="B49" s="509">
        <f t="shared" si="3"/>
        <v>559477</v>
      </c>
      <c r="C49" s="509">
        <f t="shared" si="3"/>
        <v>0</v>
      </c>
      <c r="D49" s="509">
        <f t="shared" si="3"/>
        <v>559477</v>
      </c>
      <c r="E49" s="509">
        <f t="shared" si="3"/>
        <v>0</v>
      </c>
      <c r="F49" s="509">
        <f t="shared" si="3"/>
        <v>523103</v>
      </c>
      <c r="G49" s="509">
        <f t="shared" si="3"/>
        <v>36374</v>
      </c>
      <c r="H49" s="462"/>
      <c r="I49" s="514">
        <v>238545</v>
      </c>
      <c r="J49" s="514">
        <v>320932</v>
      </c>
      <c r="K49" s="521">
        <f>I12+I24+I37</f>
        <v>58426</v>
      </c>
      <c r="L49" s="521">
        <f>J12+J37</f>
        <v>13495</v>
      </c>
      <c r="M49" s="434">
        <v>0</v>
      </c>
      <c r="N49" s="522">
        <f>O49+P49</f>
        <v>63719</v>
      </c>
      <c r="O49" s="521">
        <f t="shared" si="1"/>
        <v>58312</v>
      </c>
      <c r="P49" s="523">
        <f t="shared" si="1"/>
        <v>5407</v>
      </c>
      <c r="Q49" s="521">
        <f>R49+S49</f>
        <v>82409</v>
      </c>
      <c r="R49" s="523">
        <f>P12+P37+P24</f>
        <v>69136</v>
      </c>
      <c r="S49" s="521">
        <f>Q12+Q24+Q37</f>
        <v>13273</v>
      </c>
      <c r="T49" s="464" t="b">
        <f>N49+M49=L49</f>
        <v>0</v>
      </c>
      <c r="U49" s="462" t="b">
        <f>Q49=R49+S49</f>
        <v>1</v>
      </c>
      <c r="V49" s="462" t="b">
        <f>D49=I49+J49</f>
        <v>1</v>
      </c>
      <c r="W49" s="500"/>
      <c r="X49" s="461" t="s">
        <v>1841</v>
      </c>
      <c r="Y49" s="514">
        <f t="shared" si="4"/>
        <v>238545</v>
      </c>
      <c r="Z49" s="514">
        <f t="shared" si="4"/>
        <v>194017</v>
      </c>
      <c r="AA49" s="514">
        <f t="shared" si="4"/>
        <v>43843</v>
      </c>
      <c r="AB49" s="514">
        <f t="shared" si="4"/>
        <v>685</v>
      </c>
      <c r="AC49" s="514">
        <f t="shared" si="4"/>
        <v>0</v>
      </c>
      <c r="AD49" s="514">
        <f t="shared" si="4"/>
        <v>161065</v>
      </c>
      <c r="AE49" s="514">
        <f t="shared" si="4"/>
        <v>96185</v>
      </c>
      <c r="AF49" s="514">
        <v>0</v>
      </c>
      <c r="AG49" s="514">
        <f t="shared" si="4"/>
        <v>0</v>
      </c>
      <c r="AH49" s="514">
        <f t="shared" si="4"/>
        <v>0</v>
      </c>
      <c r="AI49" s="514">
        <f t="shared" si="4"/>
        <v>320932</v>
      </c>
      <c r="AJ49" s="514">
        <f t="shared" si="4"/>
        <v>35523</v>
      </c>
      <c r="AK49" s="514">
        <f t="shared" si="4"/>
        <v>285409</v>
      </c>
      <c r="AL49" s="514">
        <f t="shared" si="4"/>
        <v>218968</v>
      </c>
      <c r="AM49" s="514">
        <f t="shared" si="4"/>
        <v>101964</v>
      </c>
      <c r="AN49" s="462" t="b">
        <f>AJ49+AK49=AL49+AM49</f>
        <v>1</v>
      </c>
      <c r="AO49" s="499" t="b">
        <f>D49=Y49+AI49</f>
        <v>1</v>
      </c>
      <c r="AP49" s="500"/>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row>
    <row r="50" spans="1:42" ht="12.75">
      <c r="A50" s="406"/>
      <c r="B50" s="406"/>
      <c r="C50" s="406"/>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row>
    <row r="51" spans="1:42" ht="12.75">
      <c r="A51" s="479"/>
      <c r="B51" s="479"/>
      <c r="C51" s="479"/>
      <c r="D51" s="479"/>
      <c r="E51" s="479"/>
      <c r="F51" s="479"/>
      <c r="G51" s="479"/>
      <c r="H51" s="479"/>
      <c r="I51" s="479"/>
      <c r="J51" s="479"/>
      <c r="K51" s="479"/>
      <c r="L51" s="479"/>
      <c r="M51" s="479"/>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c r="AP51" s="406"/>
    </row>
    <row r="52" spans="1:42" ht="12.75">
      <c r="A52" s="479"/>
      <c r="B52" s="479"/>
      <c r="C52" s="479"/>
      <c r="D52" s="479"/>
      <c r="E52" s="479"/>
      <c r="F52" s="479"/>
      <c r="G52" s="479"/>
      <c r="H52" s="479"/>
      <c r="I52" s="479"/>
      <c r="J52" s="479"/>
      <c r="K52" s="479"/>
      <c r="L52" s="479"/>
      <c r="M52" s="479"/>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row>
    <row r="53" spans="1:13" ht="12.75">
      <c r="A53" s="37"/>
      <c r="B53" s="37"/>
      <c r="C53" s="37"/>
      <c r="D53" s="37"/>
      <c r="E53" s="37"/>
      <c r="F53" s="37"/>
      <c r="G53" s="37"/>
      <c r="H53" s="37"/>
      <c r="I53" s="37"/>
      <c r="J53" s="37"/>
      <c r="K53" s="37"/>
      <c r="L53" s="37"/>
      <c r="M53" s="37"/>
    </row>
    <row r="54" spans="1:13" ht="12.75">
      <c r="A54" s="37"/>
      <c r="B54" s="37"/>
      <c r="C54" s="37"/>
      <c r="D54" s="37"/>
      <c r="E54" s="37"/>
      <c r="F54" s="37"/>
      <c r="G54" s="37"/>
      <c r="H54" s="37"/>
      <c r="I54" s="37"/>
      <c r="J54" s="37"/>
      <c r="K54" s="37"/>
      <c r="L54" s="37"/>
      <c r="M54" s="37"/>
    </row>
    <row r="55" spans="1:13" ht="12.75">
      <c r="A55" s="37"/>
      <c r="B55" s="37"/>
      <c r="C55" s="37"/>
      <c r="D55" s="37"/>
      <c r="E55" s="37"/>
      <c r="F55" s="37"/>
      <c r="G55" s="37"/>
      <c r="H55" s="37"/>
      <c r="I55" s="37"/>
      <c r="J55" s="37"/>
      <c r="K55" s="37"/>
      <c r="L55" s="37"/>
      <c r="M55" s="37"/>
    </row>
    <row r="56" spans="1:13" ht="12.75">
      <c r="A56" s="37"/>
      <c r="B56" s="37"/>
      <c r="C56" s="37"/>
      <c r="D56" s="37"/>
      <c r="E56" s="37"/>
      <c r="F56" s="37"/>
      <c r="G56" s="37"/>
      <c r="H56" s="37"/>
      <c r="I56" s="37"/>
      <c r="J56" s="37"/>
      <c r="K56" s="37"/>
      <c r="L56" s="37"/>
      <c r="M56" s="37"/>
    </row>
    <row r="57" spans="4:11" ht="12.75">
      <c r="D57" s="39"/>
      <c r="E57" s="39"/>
      <c r="F57" s="39"/>
      <c r="G57" s="39"/>
      <c r="H57" s="39"/>
      <c r="I57" s="40"/>
      <c r="J57" s="40"/>
      <c r="K57" s="39"/>
    </row>
  </sheetData>
  <sheetProtection/>
  <mergeCells count="121">
    <mergeCell ref="AL44:AM44"/>
    <mergeCell ref="R44:S44"/>
    <mergeCell ref="Y44:Y45"/>
    <mergeCell ref="Y43:AG43"/>
    <mergeCell ref="AI43:AM43"/>
    <mergeCell ref="F44:G44"/>
    <mergeCell ref="I44:I45"/>
    <mergeCell ref="AJ44:AK44"/>
    <mergeCell ref="X42:X45"/>
    <mergeCell ref="Y42:AM42"/>
    <mergeCell ref="M44:M45"/>
    <mergeCell ref="N44:N45"/>
    <mergeCell ref="O44:P44"/>
    <mergeCell ref="Y30:AM30"/>
    <mergeCell ref="J44:J45"/>
    <mergeCell ref="K44:K45"/>
    <mergeCell ref="L44:L45"/>
    <mergeCell ref="AD32:AG32"/>
    <mergeCell ref="AI32:AI33"/>
    <mergeCell ref="AJ32:AK32"/>
    <mergeCell ref="Z44:AB44"/>
    <mergeCell ref="AD44:AG44"/>
    <mergeCell ref="AI44:AI45"/>
    <mergeCell ref="A42:A45"/>
    <mergeCell ref="B42:B45"/>
    <mergeCell ref="C42:C45"/>
    <mergeCell ref="D42:M42"/>
    <mergeCell ref="N42:P43"/>
    <mergeCell ref="Q42:S43"/>
    <mergeCell ref="D43:D45"/>
    <mergeCell ref="E43:E45"/>
    <mergeCell ref="F43:M43"/>
    <mergeCell ref="Q44:Q45"/>
    <mergeCell ref="AN31:AO33"/>
    <mergeCell ref="F32:G32"/>
    <mergeCell ref="I32:I33"/>
    <mergeCell ref="J32:J33"/>
    <mergeCell ref="K32:K33"/>
    <mergeCell ref="L32:L33"/>
    <mergeCell ref="M32:N32"/>
    <mergeCell ref="O32:O33"/>
    <mergeCell ref="P32:Q32"/>
    <mergeCell ref="Y32:Y33"/>
    <mergeCell ref="D31:D33"/>
    <mergeCell ref="E31:E33"/>
    <mergeCell ref="F31:K31"/>
    <mergeCell ref="Y31:AG31"/>
    <mergeCell ref="AH31:AH33"/>
    <mergeCell ref="AI31:AM31"/>
    <mergeCell ref="Z32:AB32"/>
    <mergeCell ref="AL32:AM32"/>
    <mergeCell ref="T30:U33"/>
    <mergeCell ref="X30:X33"/>
    <mergeCell ref="AD19:AG19"/>
    <mergeCell ref="AI19:AI20"/>
    <mergeCell ref="AJ19:AK19"/>
    <mergeCell ref="AL19:AM19"/>
    <mergeCell ref="A30:A33"/>
    <mergeCell ref="B30:B33"/>
    <mergeCell ref="C30:C33"/>
    <mergeCell ref="D30:K30"/>
    <mergeCell ref="L30:N31"/>
    <mergeCell ref="O30:Q31"/>
    <mergeCell ref="AN18:AO20"/>
    <mergeCell ref="F19:G19"/>
    <mergeCell ref="I19:I20"/>
    <mergeCell ref="J19:J20"/>
    <mergeCell ref="K19:K20"/>
    <mergeCell ref="L19:L20"/>
    <mergeCell ref="M19:N19"/>
    <mergeCell ref="O19:O20"/>
    <mergeCell ref="P19:Q19"/>
    <mergeCell ref="Y19:Y20"/>
    <mergeCell ref="T17:U20"/>
    <mergeCell ref="X17:X20"/>
    <mergeCell ref="Y17:AM17"/>
    <mergeCell ref="D18:D20"/>
    <mergeCell ref="E18:E20"/>
    <mergeCell ref="F18:K18"/>
    <mergeCell ref="Y18:AG18"/>
    <mergeCell ref="AH18:AH20"/>
    <mergeCell ref="AI18:AM18"/>
    <mergeCell ref="Z19:AB19"/>
    <mergeCell ref="AD7:AG7"/>
    <mergeCell ref="AI7:AI8"/>
    <mergeCell ref="AJ7:AK7"/>
    <mergeCell ref="AL7:AM7"/>
    <mergeCell ref="A17:A20"/>
    <mergeCell ref="B17:B20"/>
    <mergeCell ref="C17:C20"/>
    <mergeCell ref="D17:K17"/>
    <mergeCell ref="L17:N18"/>
    <mergeCell ref="O17:Q18"/>
    <mergeCell ref="AN6:AO8"/>
    <mergeCell ref="F7:G7"/>
    <mergeCell ref="I7:I8"/>
    <mergeCell ref="J7:J8"/>
    <mergeCell ref="K7:K8"/>
    <mergeCell ref="L7:L8"/>
    <mergeCell ref="M7:N7"/>
    <mergeCell ref="O7:O8"/>
    <mergeCell ref="P7:Q7"/>
    <mergeCell ref="Y7:Y8"/>
    <mergeCell ref="T5:U8"/>
    <mergeCell ref="X5:X8"/>
    <mergeCell ref="Y5:AM5"/>
    <mergeCell ref="D6:D8"/>
    <mergeCell ref="E6:E8"/>
    <mergeCell ref="F6:K6"/>
    <mergeCell ref="Y6:AG6"/>
    <mergeCell ref="AH6:AH8"/>
    <mergeCell ref="AI6:AM6"/>
    <mergeCell ref="Z7:AB7"/>
    <mergeCell ref="A1:S1"/>
    <mergeCell ref="K2:N2"/>
    <mergeCell ref="A5:A8"/>
    <mergeCell ref="B5:B8"/>
    <mergeCell ref="C5:C8"/>
    <mergeCell ref="D5:K5"/>
    <mergeCell ref="L5:N6"/>
    <mergeCell ref="O5:Q6"/>
  </mergeCells>
  <conditionalFormatting sqref="AN47:AO47 AN22:AO23 AN35:AO36 AN10:AO11">
    <cfRule type="cellIs" priority="16" dxfId="33" operator="equal" stopIfTrue="1">
      <formula>FALSE</formula>
    </cfRule>
  </conditionalFormatting>
  <conditionalFormatting sqref="V42:V49">
    <cfRule type="cellIs" priority="14" dxfId="34" operator="equal" stopIfTrue="1">
      <formula>TRUE</formula>
    </cfRule>
    <cfRule type="cellIs" priority="15" dxfId="33" operator="equal" stopIfTrue="1">
      <formula>FALSE</formula>
    </cfRule>
  </conditionalFormatting>
  <conditionalFormatting sqref="T22:U23 T35:U36 T10:U12">
    <cfRule type="cellIs" priority="13" dxfId="35" operator="equal" stopIfTrue="1">
      <formula>FALSE</formula>
    </cfRule>
  </conditionalFormatting>
  <conditionalFormatting sqref="E10:E12 H10:H12">
    <cfRule type="cellIs" priority="12" dxfId="35" operator="equal" stopIfTrue="1">
      <formula>FALSE</formula>
    </cfRule>
  </conditionalFormatting>
  <conditionalFormatting sqref="H22:H24 E22:E24">
    <cfRule type="cellIs" priority="11" dxfId="35" operator="equal" stopIfTrue="1">
      <formula>FALSE</formula>
    </cfRule>
  </conditionalFormatting>
  <conditionalFormatting sqref="E35:E37 H35:H37">
    <cfRule type="cellIs" priority="10" dxfId="35" operator="equal" stopIfTrue="1">
      <formula>FALSE</formula>
    </cfRule>
  </conditionalFormatting>
  <conditionalFormatting sqref="H48:H49">
    <cfRule type="cellIs" priority="9" dxfId="35" operator="equal" stopIfTrue="1">
      <formula>FALSE</formula>
    </cfRule>
  </conditionalFormatting>
  <conditionalFormatting sqref="AH10:AH12 AC10:AC12">
    <cfRule type="cellIs" priority="8" dxfId="33" operator="equal" stopIfTrue="1">
      <formula>FALSE</formula>
    </cfRule>
  </conditionalFormatting>
  <conditionalFormatting sqref="AC22:AC24 AH22:AH24">
    <cfRule type="cellIs" priority="7" dxfId="33" operator="equal" stopIfTrue="1">
      <formula>FALSE</formula>
    </cfRule>
  </conditionalFormatting>
  <conditionalFormatting sqref="AH35:AH37 AC35:AC37">
    <cfRule type="cellIs" priority="6" dxfId="33" operator="equal" stopIfTrue="1">
      <formula>FALSE</formula>
    </cfRule>
  </conditionalFormatting>
  <conditionalFormatting sqref="AC10:AC11">
    <cfRule type="cellIs" priority="5" dxfId="33" operator="equal" stopIfTrue="1">
      <formula>FALSE</formula>
    </cfRule>
  </conditionalFormatting>
  <conditionalFormatting sqref="H22:H23">
    <cfRule type="cellIs" priority="4" dxfId="35" operator="equal" stopIfTrue="1">
      <formula>FALSE</formula>
    </cfRule>
  </conditionalFormatting>
  <conditionalFormatting sqref="AC22:AC23">
    <cfRule type="cellIs" priority="3" dxfId="33" operator="equal" stopIfTrue="1">
      <formula>FALSE</formula>
    </cfRule>
  </conditionalFormatting>
  <conditionalFormatting sqref="H35:H36">
    <cfRule type="cellIs" priority="2" dxfId="35" operator="equal" stopIfTrue="1">
      <formula>FALSE</formula>
    </cfRule>
  </conditionalFormatting>
  <conditionalFormatting sqref="AC35:AC36">
    <cfRule type="cellIs" priority="1" dxfId="33" operator="equal" stopIfTrue="1">
      <formula>FALSE</formula>
    </cfRule>
  </conditionalFormatting>
  <printOptions/>
  <pageMargins left="0.28" right="0.18" top="0.38" bottom="0.36" header="0.25" footer="0.26"/>
  <pageSetup horizontalDpi="600" verticalDpi="600" orientation="landscape" paperSize="9" scale="54" r:id="rId1"/>
  <colBreaks count="1" manualBreakCount="1">
    <brk id="19" max="51" man="1"/>
  </colBreaks>
</worksheet>
</file>

<file path=xl/worksheets/sheet8.xml><?xml version="1.0" encoding="utf-8"?>
<worksheet xmlns="http://schemas.openxmlformats.org/spreadsheetml/2006/main" xmlns:r="http://schemas.openxmlformats.org/officeDocument/2006/relationships">
  <dimension ref="A1:H38"/>
  <sheetViews>
    <sheetView view="pageBreakPreview" zoomScaleSheetLayoutView="100" zoomScalePageLayoutView="0" workbookViewId="0" topLeftCell="A1">
      <pane ySplit="3" topLeftCell="A29" activePane="bottomLeft" state="frozen"/>
      <selection pane="topLeft" activeCell="B50" sqref="B50"/>
      <selection pane="bottomLeft" activeCell="G15" sqref="G15"/>
    </sheetView>
  </sheetViews>
  <sheetFormatPr defaultColWidth="9.00390625" defaultRowHeight="12.75"/>
  <cols>
    <col min="1" max="1" width="4.375" style="82" customWidth="1"/>
    <col min="2" max="2" width="28.125" style="82" customWidth="1"/>
    <col min="3" max="3" width="12.375" style="82" customWidth="1"/>
    <col min="4" max="4" width="22.00390625" style="82" customWidth="1"/>
    <col min="5" max="5" width="12.875" style="82" customWidth="1"/>
    <col min="6" max="6" width="17.25390625" style="82" customWidth="1"/>
    <col min="7" max="7" width="22.25390625" style="82" customWidth="1"/>
    <col min="8" max="8" width="20.00390625" style="82" customWidth="1"/>
    <col min="9" max="16384" width="9.125" style="82" customWidth="1"/>
  </cols>
  <sheetData>
    <row r="1" spans="1:8" ht="32.25" customHeight="1">
      <c r="A1" s="1539" t="s">
        <v>2142</v>
      </c>
      <c r="B1" s="1539"/>
      <c r="C1" s="1539"/>
      <c r="D1" s="1539"/>
      <c r="E1" s="1539"/>
      <c r="F1" s="1539"/>
      <c r="G1" s="1539"/>
      <c r="H1" s="1539"/>
    </row>
    <row r="2" spans="1:8" ht="57" customHeight="1">
      <c r="A2" s="524" t="s">
        <v>2082</v>
      </c>
      <c r="B2" s="524" t="s">
        <v>2143</v>
      </c>
      <c r="C2" s="524" t="s">
        <v>1790</v>
      </c>
      <c r="D2" s="524" t="s">
        <v>2144</v>
      </c>
      <c r="E2" s="524" t="s">
        <v>2145</v>
      </c>
      <c r="F2" s="524" t="s">
        <v>1791</v>
      </c>
      <c r="G2" s="524" t="s">
        <v>1792</v>
      </c>
      <c r="H2" s="524" t="s">
        <v>1747</v>
      </c>
    </row>
    <row r="3" spans="1:8" s="83" customFormat="1" ht="15" customHeight="1">
      <c r="A3" s="524">
        <v>1</v>
      </c>
      <c r="B3" s="524">
        <v>2</v>
      </c>
      <c r="C3" s="524">
        <v>3</v>
      </c>
      <c r="D3" s="524">
        <v>4</v>
      </c>
      <c r="E3" s="524">
        <v>5</v>
      </c>
      <c r="F3" s="524">
        <v>6</v>
      </c>
      <c r="G3" s="524">
        <v>7</v>
      </c>
      <c r="H3" s="524">
        <v>8</v>
      </c>
    </row>
    <row r="4" spans="1:8" s="83" customFormat="1" ht="15" customHeight="1">
      <c r="A4" s="525">
        <v>1</v>
      </c>
      <c r="B4" s="525" t="s">
        <v>371</v>
      </c>
      <c r="C4" s="525">
        <v>12</v>
      </c>
      <c r="D4" s="525" t="s">
        <v>372</v>
      </c>
      <c r="E4" s="525">
        <v>10</v>
      </c>
      <c r="F4" s="526">
        <v>0.5</v>
      </c>
      <c r="G4" s="525" t="s">
        <v>373</v>
      </c>
      <c r="H4" s="525"/>
    </row>
    <row r="5" spans="1:8" s="83" customFormat="1" ht="15" customHeight="1">
      <c r="A5" s="525">
        <v>2</v>
      </c>
      <c r="B5" s="525" t="s">
        <v>374</v>
      </c>
      <c r="C5" s="525">
        <v>6</v>
      </c>
      <c r="D5" s="525" t="s">
        <v>372</v>
      </c>
      <c r="E5" s="525">
        <v>10</v>
      </c>
      <c r="F5" s="526">
        <v>1</v>
      </c>
      <c r="G5" s="525" t="s">
        <v>373</v>
      </c>
      <c r="H5" s="525"/>
    </row>
    <row r="6" spans="1:8" s="83" customFormat="1" ht="15" customHeight="1">
      <c r="A6" s="525">
        <v>3</v>
      </c>
      <c r="B6" s="525" t="s">
        <v>375</v>
      </c>
      <c r="C6" s="525">
        <v>24</v>
      </c>
      <c r="D6" s="525" t="s">
        <v>372</v>
      </c>
      <c r="E6" s="525">
        <v>0.4</v>
      </c>
      <c r="F6" s="526">
        <v>0.5</v>
      </c>
      <c r="G6" s="525" t="s">
        <v>373</v>
      </c>
      <c r="H6" s="525"/>
    </row>
    <row r="7" spans="1:8" s="83" customFormat="1" ht="15" customHeight="1">
      <c r="A7" s="525">
        <v>4</v>
      </c>
      <c r="B7" s="525" t="s">
        <v>376</v>
      </c>
      <c r="C7" s="525">
        <v>48</v>
      </c>
      <c r="D7" s="525" t="s">
        <v>372</v>
      </c>
      <c r="E7" s="525">
        <v>0.4</v>
      </c>
      <c r="F7" s="526">
        <v>1</v>
      </c>
      <c r="G7" s="525" t="s">
        <v>373</v>
      </c>
      <c r="H7" s="525"/>
    </row>
    <row r="8" spans="1:8" s="83" customFormat="1" ht="15" customHeight="1">
      <c r="A8" s="525">
        <v>5</v>
      </c>
      <c r="B8" s="525" t="s">
        <v>377</v>
      </c>
      <c r="C8" s="525">
        <v>6</v>
      </c>
      <c r="D8" s="525" t="s">
        <v>378</v>
      </c>
      <c r="E8" s="525">
        <v>10</v>
      </c>
      <c r="F8" s="526">
        <v>0.5</v>
      </c>
      <c r="G8" s="525" t="s">
        <v>373</v>
      </c>
      <c r="H8" s="525"/>
    </row>
    <row r="9" spans="1:8" s="83" customFormat="1" ht="15" customHeight="1">
      <c r="A9" s="525">
        <v>6</v>
      </c>
      <c r="B9" s="525" t="s">
        <v>379</v>
      </c>
      <c r="C9" s="525">
        <v>6</v>
      </c>
      <c r="D9" s="525" t="s">
        <v>378</v>
      </c>
      <c r="E9" s="525">
        <v>10</v>
      </c>
      <c r="F9" s="526">
        <v>1</v>
      </c>
      <c r="G9" s="525" t="s">
        <v>373</v>
      </c>
      <c r="H9" s="525"/>
    </row>
    <row r="10" spans="1:8" s="83" customFormat="1" ht="15" customHeight="1">
      <c r="A10" s="525">
        <v>7</v>
      </c>
      <c r="B10" s="525" t="s">
        <v>380</v>
      </c>
      <c r="C10" s="525">
        <v>160</v>
      </c>
      <c r="D10" s="525" t="s">
        <v>378</v>
      </c>
      <c r="E10" s="525">
        <v>0.4</v>
      </c>
      <c r="F10" s="526">
        <v>0.5</v>
      </c>
      <c r="G10" s="525" t="s">
        <v>373</v>
      </c>
      <c r="H10" s="525"/>
    </row>
    <row r="11" spans="1:8" s="83" customFormat="1" ht="15" customHeight="1">
      <c r="A11" s="525">
        <v>8</v>
      </c>
      <c r="B11" s="525" t="s">
        <v>381</v>
      </c>
      <c r="C11" s="525">
        <v>240</v>
      </c>
      <c r="D11" s="525" t="s">
        <v>378</v>
      </c>
      <c r="E11" s="525">
        <v>0.4</v>
      </c>
      <c r="F11" s="526">
        <v>1</v>
      </c>
      <c r="G11" s="525" t="s">
        <v>373</v>
      </c>
      <c r="H11" s="525"/>
    </row>
    <row r="12" spans="1:8" s="83" customFormat="1" ht="15" customHeight="1">
      <c r="A12" s="525">
        <v>9</v>
      </c>
      <c r="B12" s="525" t="s">
        <v>382</v>
      </c>
      <c r="C12" s="525">
        <v>23</v>
      </c>
      <c r="D12" s="525" t="s">
        <v>383</v>
      </c>
      <c r="E12" s="525" t="s">
        <v>384</v>
      </c>
      <c r="F12" s="526">
        <v>0.5</v>
      </c>
      <c r="G12" s="525" t="s">
        <v>373</v>
      </c>
      <c r="H12" s="525"/>
    </row>
    <row r="13" spans="1:8" s="83" customFormat="1" ht="15" customHeight="1">
      <c r="A13" s="525">
        <v>10</v>
      </c>
      <c r="B13" s="525" t="s">
        <v>385</v>
      </c>
      <c r="C13" s="525">
        <v>4</v>
      </c>
      <c r="D13" s="525" t="s">
        <v>383</v>
      </c>
      <c r="E13" s="525">
        <v>0.4</v>
      </c>
      <c r="F13" s="526">
        <v>1</v>
      </c>
      <c r="G13" s="525" t="s">
        <v>373</v>
      </c>
      <c r="H13" s="525"/>
    </row>
    <row r="14" spans="1:8" s="83" customFormat="1" ht="15" customHeight="1">
      <c r="A14" s="525">
        <v>11</v>
      </c>
      <c r="B14" s="525" t="s">
        <v>386</v>
      </c>
      <c r="C14" s="525">
        <v>5</v>
      </c>
      <c r="D14" s="525" t="s">
        <v>383</v>
      </c>
      <c r="E14" s="525">
        <v>0.4</v>
      </c>
      <c r="F14" s="526">
        <v>1</v>
      </c>
      <c r="G14" s="525" t="s">
        <v>373</v>
      </c>
      <c r="H14" s="525"/>
    </row>
    <row r="15" spans="1:8" s="83" customFormat="1" ht="15" customHeight="1">
      <c r="A15" s="525">
        <v>12</v>
      </c>
      <c r="B15" s="525" t="s">
        <v>387</v>
      </c>
      <c r="C15" s="525">
        <v>17</v>
      </c>
      <c r="D15" s="525" t="s">
        <v>383</v>
      </c>
      <c r="E15" s="525">
        <v>0.4</v>
      </c>
      <c r="F15" s="526">
        <v>1</v>
      </c>
      <c r="G15" s="525" t="s">
        <v>373</v>
      </c>
      <c r="H15" s="525"/>
    </row>
    <row r="16" spans="1:8" s="83" customFormat="1" ht="15" customHeight="1">
      <c r="A16" s="525">
        <v>13</v>
      </c>
      <c r="B16" s="525" t="s">
        <v>388</v>
      </c>
      <c r="C16" s="525">
        <v>11</v>
      </c>
      <c r="D16" s="525" t="s">
        <v>389</v>
      </c>
      <c r="E16" s="525" t="s">
        <v>384</v>
      </c>
      <c r="F16" s="526">
        <v>0.5</v>
      </c>
      <c r="G16" s="525" t="s">
        <v>373</v>
      </c>
      <c r="H16" s="525"/>
    </row>
    <row r="17" spans="1:8" s="83" customFormat="1" ht="15" customHeight="1">
      <c r="A17" s="525">
        <v>14</v>
      </c>
      <c r="B17" s="525" t="s">
        <v>390</v>
      </c>
      <c r="C17" s="525">
        <v>4</v>
      </c>
      <c r="D17" s="525" t="s">
        <v>391</v>
      </c>
      <c r="E17" s="525" t="s">
        <v>392</v>
      </c>
      <c r="F17" s="526">
        <v>0.5</v>
      </c>
      <c r="G17" s="525" t="s">
        <v>373</v>
      </c>
      <c r="H17" s="525"/>
    </row>
    <row r="18" spans="1:8" s="83" customFormat="1" ht="15" customHeight="1">
      <c r="A18" s="525">
        <v>15</v>
      </c>
      <c r="B18" s="525" t="s">
        <v>393</v>
      </c>
      <c r="C18" s="525">
        <v>6</v>
      </c>
      <c r="D18" s="525" t="s">
        <v>391</v>
      </c>
      <c r="E18" s="525" t="s">
        <v>392</v>
      </c>
      <c r="F18" s="526">
        <v>0.5</v>
      </c>
      <c r="G18" s="525" t="s">
        <v>373</v>
      </c>
      <c r="H18" s="525"/>
    </row>
    <row r="19" spans="1:8" s="83" customFormat="1" ht="15" customHeight="1">
      <c r="A19" s="525">
        <v>16</v>
      </c>
      <c r="B19" s="525" t="s">
        <v>394</v>
      </c>
      <c r="C19" s="527">
        <v>2</v>
      </c>
      <c r="D19" s="525" t="s">
        <v>395</v>
      </c>
      <c r="E19" s="525" t="s">
        <v>384</v>
      </c>
      <c r="F19" s="526">
        <v>0.5</v>
      </c>
      <c r="G19" s="525" t="s">
        <v>373</v>
      </c>
      <c r="H19" s="527"/>
    </row>
    <row r="20" spans="1:8" s="83" customFormat="1" ht="15" customHeight="1">
      <c r="A20" s="525">
        <v>17</v>
      </c>
      <c r="B20" s="525" t="s">
        <v>396</v>
      </c>
      <c r="C20" s="527">
        <v>20</v>
      </c>
      <c r="D20" s="525" t="s">
        <v>395</v>
      </c>
      <c r="E20" s="525">
        <v>0.4</v>
      </c>
      <c r="F20" s="526">
        <v>1</v>
      </c>
      <c r="G20" s="525" t="s">
        <v>373</v>
      </c>
      <c r="H20" s="527"/>
    </row>
    <row r="21" spans="1:8" s="83" customFormat="1" ht="15" customHeight="1">
      <c r="A21" s="525">
        <v>18</v>
      </c>
      <c r="B21" s="525" t="s">
        <v>397</v>
      </c>
      <c r="C21" s="527">
        <v>7</v>
      </c>
      <c r="D21" s="525" t="s">
        <v>398</v>
      </c>
      <c r="E21" s="525" t="s">
        <v>384</v>
      </c>
      <c r="F21" s="526">
        <v>0.5</v>
      </c>
      <c r="G21" s="525" t="s">
        <v>373</v>
      </c>
      <c r="H21" s="527"/>
    </row>
    <row r="22" spans="1:8" s="83" customFormat="1" ht="15" customHeight="1">
      <c r="A22" s="525">
        <v>19</v>
      </c>
      <c r="B22" s="525" t="s">
        <v>399</v>
      </c>
      <c r="C22" s="527">
        <v>7</v>
      </c>
      <c r="D22" s="525" t="s">
        <v>398</v>
      </c>
      <c r="E22" s="525" t="s">
        <v>384</v>
      </c>
      <c r="F22" s="526">
        <v>1</v>
      </c>
      <c r="G22" s="525" t="s">
        <v>373</v>
      </c>
      <c r="H22" s="527"/>
    </row>
    <row r="23" spans="1:8" s="83" customFormat="1" ht="15" customHeight="1">
      <c r="A23" s="525">
        <v>20</v>
      </c>
      <c r="B23" s="525" t="s">
        <v>400</v>
      </c>
      <c r="C23" s="527">
        <v>2</v>
      </c>
      <c r="D23" s="525" t="s">
        <v>398</v>
      </c>
      <c r="E23" s="525" t="s">
        <v>392</v>
      </c>
      <c r="F23" s="526">
        <v>0.5</v>
      </c>
      <c r="G23" s="525" t="s">
        <v>373</v>
      </c>
      <c r="H23" s="527"/>
    </row>
    <row r="24" spans="1:8" s="83" customFormat="1" ht="15" customHeight="1">
      <c r="A24" s="525">
        <v>21</v>
      </c>
      <c r="B24" s="525" t="s">
        <v>401</v>
      </c>
      <c r="C24" s="527">
        <v>26</v>
      </c>
      <c r="D24" s="525" t="s">
        <v>398</v>
      </c>
      <c r="E24" s="525" t="s">
        <v>392</v>
      </c>
      <c r="F24" s="526">
        <v>1</v>
      </c>
      <c r="G24" s="525" t="s">
        <v>373</v>
      </c>
      <c r="H24" s="527"/>
    </row>
    <row r="25" spans="1:8" s="83" customFormat="1" ht="15" customHeight="1">
      <c r="A25" s="525">
        <v>22</v>
      </c>
      <c r="B25" s="525" t="s">
        <v>402</v>
      </c>
      <c r="C25" s="527">
        <v>2</v>
      </c>
      <c r="D25" s="525" t="s">
        <v>398</v>
      </c>
      <c r="E25" s="525" t="s">
        <v>384</v>
      </c>
      <c r="F25" s="526">
        <v>1</v>
      </c>
      <c r="G25" s="525" t="s">
        <v>373</v>
      </c>
      <c r="H25" s="527"/>
    </row>
    <row r="26" spans="1:8" s="83" customFormat="1" ht="15" customHeight="1">
      <c r="A26" s="525">
        <v>23</v>
      </c>
      <c r="B26" s="525" t="s">
        <v>403</v>
      </c>
      <c r="C26" s="527">
        <v>8</v>
      </c>
      <c r="D26" s="525" t="s">
        <v>404</v>
      </c>
      <c r="E26" s="525" t="s">
        <v>392</v>
      </c>
      <c r="F26" s="526">
        <v>0.5</v>
      </c>
      <c r="G26" s="525" t="s">
        <v>373</v>
      </c>
      <c r="H26" s="527"/>
    </row>
    <row r="27" spans="1:8" s="83" customFormat="1" ht="15" customHeight="1">
      <c r="A27" s="525">
        <v>24</v>
      </c>
      <c r="B27" s="525" t="s">
        <v>405</v>
      </c>
      <c r="C27" s="527">
        <v>2</v>
      </c>
      <c r="D27" s="525" t="s">
        <v>406</v>
      </c>
      <c r="E27" s="525">
        <v>10</v>
      </c>
      <c r="F27" s="526">
        <v>0.5</v>
      </c>
      <c r="G27" s="525" t="s">
        <v>373</v>
      </c>
      <c r="H27" s="527"/>
    </row>
    <row r="28" spans="1:8" s="83" customFormat="1" ht="15" customHeight="1">
      <c r="A28" s="525">
        <v>25</v>
      </c>
      <c r="B28" s="525" t="s">
        <v>407</v>
      </c>
      <c r="C28" s="527">
        <v>491</v>
      </c>
      <c r="D28" s="525" t="s">
        <v>408</v>
      </c>
      <c r="E28" s="525">
        <v>0.4</v>
      </c>
      <c r="F28" s="526">
        <v>1</v>
      </c>
      <c r="G28" s="525" t="s">
        <v>373</v>
      </c>
      <c r="H28" s="527"/>
    </row>
    <row r="29" spans="1:8" s="83" customFormat="1" ht="15" customHeight="1">
      <c r="A29" s="525">
        <v>26</v>
      </c>
      <c r="B29" s="525" t="s">
        <v>409</v>
      </c>
      <c r="C29" s="527">
        <v>350</v>
      </c>
      <c r="D29" s="525" t="s">
        <v>410</v>
      </c>
      <c r="E29" s="525" t="s">
        <v>384</v>
      </c>
      <c r="F29" s="526">
        <v>2</v>
      </c>
      <c r="G29" s="525" t="s">
        <v>373</v>
      </c>
      <c r="H29" s="527"/>
    </row>
    <row r="30" spans="1:8" s="83" customFormat="1" ht="15" customHeight="1">
      <c r="A30" s="525">
        <v>27</v>
      </c>
      <c r="B30" s="525" t="s">
        <v>411</v>
      </c>
      <c r="C30" s="527">
        <v>1980</v>
      </c>
      <c r="D30" s="525" t="s">
        <v>410</v>
      </c>
      <c r="E30" s="525">
        <v>0.4</v>
      </c>
      <c r="F30" s="526">
        <v>2</v>
      </c>
      <c r="G30" s="525" t="s">
        <v>373</v>
      </c>
      <c r="H30" s="527"/>
    </row>
    <row r="31" spans="1:8" s="83" customFormat="1" ht="15" customHeight="1">
      <c r="A31" s="525">
        <v>28</v>
      </c>
      <c r="B31" s="525" t="s">
        <v>412</v>
      </c>
      <c r="C31" s="527">
        <v>434</v>
      </c>
      <c r="D31" s="525" t="s">
        <v>413</v>
      </c>
      <c r="E31" s="525">
        <v>0.4</v>
      </c>
      <c r="F31" s="526">
        <v>2.5</v>
      </c>
      <c r="G31" s="525" t="s">
        <v>373</v>
      </c>
      <c r="H31" s="527"/>
    </row>
    <row r="32" spans="1:8" s="83" customFormat="1" ht="15" customHeight="1">
      <c r="A32" s="525">
        <v>29</v>
      </c>
      <c r="B32" s="525" t="s">
        <v>412</v>
      </c>
      <c r="C32" s="527">
        <v>240</v>
      </c>
      <c r="D32" s="525" t="s">
        <v>413</v>
      </c>
      <c r="E32" s="525">
        <v>0.4</v>
      </c>
      <c r="F32" s="526">
        <v>2</v>
      </c>
      <c r="G32" s="525" t="s">
        <v>373</v>
      </c>
      <c r="H32" s="527"/>
    </row>
    <row r="33" spans="1:8" s="83" customFormat="1" ht="15" customHeight="1">
      <c r="A33" s="527">
        <v>30</v>
      </c>
      <c r="B33" s="525" t="s">
        <v>414</v>
      </c>
      <c r="C33" s="527">
        <v>187</v>
      </c>
      <c r="D33" s="525" t="s">
        <v>408</v>
      </c>
      <c r="E33" s="525">
        <v>0.4</v>
      </c>
      <c r="F33" s="526">
        <v>1</v>
      </c>
      <c r="G33" s="525" t="s">
        <v>373</v>
      </c>
      <c r="H33" s="527"/>
    </row>
    <row r="34" spans="1:8" s="83" customFormat="1" ht="15" customHeight="1">
      <c r="A34" s="527">
        <v>31</v>
      </c>
      <c r="B34" s="525" t="s">
        <v>415</v>
      </c>
      <c r="C34" s="527">
        <v>80</v>
      </c>
      <c r="D34" s="525" t="s">
        <v>416</v>
      </c>
      <c r="E34" s="525" t="s">
        <v>392</v>
      </c>
      <c r="F34" s="526">
        <v>1</v>
      </c>
      <c r="G34" s="525" t="s">
        <v>373</v>
      </c>
      <c r="H34" s="527"/>
    </row>
    <row r="35" spans="1:8" s="83" customFormat="1" ht="15" customHeight="1">
      <c r="A35" s="527">
        <v>32</v>
      </c>
      <c r="B35" s="525" t="s">
        <v>417</v>
      </c>
      <c r="C35" s="527">
        <v>26</v>
      </c>
      <c r="D35" s="525" t="s">
        <v>418</v>
      </c>
      <c r="E35" s="525" t="s">
        <v>392</v>
      </c>
      <c r="F35" s="526">
        <v>0.5</v>
      </c>
      <c r="G35" s="525" t="s">
        <v>373</v>
      </c>
      <c r="H35" s="527"/>
    </row>
    <row r="36" spans="1:8" s="83" customFormat="1" ht="15" customHeight="1">
      <c r="A36" s="527">
        <v>33</v>
      </c>
      <c r="B36" s="525" t="s">
        <v>419</v>
      </c>
      <c r="C36" s="527">
        <v>25</v>
      </c>
      <c r="D36" s="525" t="s">
        <v>420</v>
      </c>
      <c r="E36" s="525" t="s">
        <v>392</v>
      </c>
      <c r="F36" s="526">
        <v>1</v>
      </c>
      <c r="G36" s="525" t="s">
        <v>373</v>
      </c>
      <c r="H36" s="527"/>
    </row>
    <row r="37" spans="1:8" ht="15.75" customHeight="1">
      <c r="A37" s="1540" t="s">
        <v>1681</v>
      </c>
      <c r="B37" s="1540"/>
      <c r="C37" s="527">
        <f>SUM(C4:C36)</f>
        <v>4461</v>
      </c>
      <c r="D37" s="528"/>
      <c r="E37" s="528"/>
      <c r="F37" s="528"/>
      <c r="G37" s="527"/>
      <c r="H37" s="529" t="s">
        <v>370</v>
      </c>
    </row>
    <row r="38" spans="1:8" ht="12.75">
      <c r="A38" s="68"/>
      <c r="B38" s="68"/>
      <c r="C38" s="68"/>
      <c r="D38" s="68"/>
      <c r="E38" s="68"/>
      <c r="F38" s="68"/>
      <c r="G38" s="68"/>
      <c r="H38" s="68"/>
    </row>
    <row r="43" ht="9.75" customHeight="1"/>
  </sheetData>
  <sheetProtection insertRows="0" deleteRows="0"/>
  <mergeCells count="2">
    <mergeCell ref="A1:H1"/>
    <mergeCell ref="A37:B37"/>
  </mergeCells>
  <printOptions/>
  <pageMargins left="0.9055118110236221" right="0.2362204724409449" top="0.3937007874015748" bottom="0.1968503937007874" header="0.2362204724409449" footer="0.2755905511811024"/>
  <pageSetup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E2" sqref="E2:F2"/>
    </sheetView>
  </sheetViews>
  <sheetFormatPr defaultColWidth="9.00390625" defaultRowHeight="12.75"/>
  <cols>
    <col min="1" max="1" width="4.625" style="84" customWidth="1"/>
    <col min="2" max="2" width="16.375" style="84" customWidth="1"/>
    <col min="3" max="3" width="22.375" style="84" customWidth="1"/>
    <col min="4" max="4" width="23.75390625" style="84" customWidth="1"/>
    <col min="5" max="5" width="25.625" style="84" customWidth="1"/>
    <col min="6" max="6" width="26.25390625" style="84" customWidth="1"/>
    <col min="7" max="7" width="8.25390625" style="84" customWidth="1"/>
    <col min="8" max="16384" width="9.125" style="84" customWidth="1"/>
  </cols>
  <sheetData>
    <row r="1" spans="1:6" ht="31.5" customHeight="1">
      <c r="A1" s="1541" t="s">
        <v>2146</v>
      </c>
      <c r="B1" s="1542"/>
      <c r="C1" s="1542"/>
      <c r="D1" s="1542"/>
      <c r="E1" s="1542"/>
      <c r="F1" s="1542"/>
    </row>
    <row r="2" spans="1:6" ht="33.75" customHeight="1">
      <c r="A2" s="1543" t="s">
        <v>2082</v>
      </c>
      <c r="B2" s="1543" t="s">
        <v>2147</v>
      </c>
      <c r="C2" s="1544" t="s">
        <v>2148</v>
      </c>
      <c r="D2" s="1544"/>
      <c r="E2" s="1544" t="s">
        <v>1692</v>
      </c>
      <c r="F2" s="1544"/>
    </row>
    <row r="3" spans="1:6" ht="27.75" customHeight="1">
      <c r="A3" s="1543"/>
      <c r="B3" s="1543"/>
      <c r="C3" s="530" t="s">
        <v>1751</v>
      </c>
      <c r="D3" s="530" t="s">
        <v>1750</v>
      </c>
      <c r="E3" s="530" t="s">
        <v>1751</v>
      </c>
      <c r="F3" s="530" t="s">
        <v>1750</v>
      </c>
    </row>
    <row r="4" spans="1:6" s="85" customFormat="1" ht="15">
      <c r="A4" s="524">
        <v>1</v>
      </c>
      <c r="B4" s="524">
        <v>2</v>
      </c>
      <c r="C4" s="524">
        <v>3</v>
      </c>
      <c r="D4" s="524">
        <v>4</v>
      </c>
      <c r="E4" s="524">
        <v>5</v>
      </c>
      <c r="F4" s="524">
        <v>6</v>
      </c>
    </row>
    <row r="5" spans="1:6" ht="12.75">
      <c r="A5" s="531">
        <v>1</v>
      </c>
      <c r="B5" s="532" t="s">
        <v>1701</v>
      </c>
      <c r="C5" s="533">
        <v>4021</v>
      </c>
      <c r="D5" s="534">
        <f>IF(C10=0,0,C5/C10)</f>
        <v>0.9013674064111186</v>
      </c>
      <c r="E5" s="533">
        <v>4021</v>
      </c>
      <c r="F5" s="534">
        <f>IF(E10=0,0,E5/E10)</f>
        <v>0.9013674064111186</v>
      </c>
    </row>
    <row r="6" spans="1:6" s="85" customFormat="1" ht="12.75">
      <c r="A6" s="535">
        <v>2</v>
      </c>
      <c r="B6" s="536" t="s">
        <v>1702</v>
      </c>
      <c r="C6" s="533">
        <v>440</v>
      </c>
      <c r="D6" s="534">
        <f>IF(C10=0,0,C6/C10)</f>
        <v>0.09863259358888142</v>
      </c>
      <c r="E6" s="533">
        <v>440</v>
      </c>
      <c r="F6" s="534">
        <f>IF(E10=0,0,E6/E10)</f>
        <v>0.09863259358888142</v>
      </c>
    </row>
    <row r="7" spans="1:6" ht="12.75">
      <c r="A7" s="531">
        <v>3</v>
      </c>
      <c r="B7" s="532" t="s">
        <v>1703</v>
      </c>
      <c r="C7" s="533">
        <v>0</v>
      </c>
      <c r="D7" s="534">
        <f>IF(C10=0,0,C7/C10)</f>
        <v>0</v>
      </c>
      <c r="E7" s="533">
        <v>0</v>
      </c>
      <c r="F7" s="534">
        <f>IF(E10=0,0,E7/E10)</f>
        <v>0</v>
      </c>
    </row>
    <row r="8" spans="1:6" s="85" customFormat="1" ht="12.75">
      <c r="A8" s="535">
        <v>4</v>
      </c>
      <c r="B8" s="536" t="s">
        <v>1704</v>
      </c>
      <c r="C8" s="533">
        <v>0</v>
      </c>
      <c r="D8" s="534">
        <f>IF(C10=0,0,C8/C10)</f>
        <v>0</v>
      </c>
      <c r="E8" s="533">
        <v>0</v>
      </c>
      <c r="F8" s="534">
        <f>IF(E10=0,0,E8/E10)</f>
        <v>0</v>
      </c>
    </row>
    <row r="9" spans="1:6" ht="12.75">
      <c r="A9" s="531">
        <v>5</v>
      </c>
      <c r="B9" s="532" t="s">
        <v>1705</v>
      </c>
      <c r="C9" s="533"/>
      <c r="D9" s="534">
        <f>IF(C10=0,0,C9/C10)</f>
        <v>0</v>
      </c>
      <c r="E9" s="533"/>
      <c r="F9" s="534">
        <f>IF(E10=0,0,E9/E10)</f>
        <v>0</v>
      </c>
    </row>
    <row r="10" spans="1:6" s="85" customFormat="1" ht="12.75">
      <c r="A10" s="535">
        <v>6</v>
      </c>
      <c r="B10" s="536" t="s">
        <v>1693</v>
      </c>
      <c r="C10" s="537">
        <f>SUM(C5:C9)</f>
        <v>4461</v>
      </c>
      <c r="D10" s="534">
        <f>SUM(D5:D9)</f>
        <v>1</v>
      </c>
      <c r="E10" s="537">
        <f>SUM(E5:E9)</f>
        <v>4461</v>
      </c>
      <c r="F10" s="534">
        <f>SUM(F5:F9)</f>
        <v>1</v>
      </c>
    </row>
  </sheetData>
  <sheetProtection/>
  <mergeCells count="5">
    <mergeCell ref="A1:F1"/>
    <mergeCell ref="A2:A3"/>
    <mergeCell ref="B2:B3"/>
    <mergeCell ref="C2:D2"/>
    <mergeCell ref="E2:F2"/>
  </mergeCells>
  <printOptions/>
  <pageMargins left="1.535433070866142"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KULINICH</dc:creator>
  <cp:keywords/>
  <dc:description/>
  <cp:lastModifiedBy>Кузюра Марина Вікторівна</cp:lastModifiedBy>
  <cp:lastPrinted>2015-08-18T11:26:29Z</cp:lastPrinted>
  <dcterms:created xsi:type="dcterms:W3CDTF">2003-02-20T10:09:41Z</dcterms:created>
  <dcterms:modified xsi:type="dcterms:W3CDTF">2015-08-18T11:26:49Z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