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655" windowWidth="15330" windowHeight="4500" tabRatio="826" firstSheet="2" activeTab="11"/>
  </bookViews>
  <sheets>
    <sheet name="5. Заг" sheetId="1" r:id="rId1"/>
    <sheet name="5.1. Буд" sheetId="2" r:id="rId2"/>
    <sheet name="5.1.1. Обсяги робіт" sheetId="3" r:id="rId3"/>
    <sheet name="5.2. Зниж" sheetId="4" r:id="rId4"/>
    <sheet name="5.3. АСДТК" sheetId="5" r:id="rId5"/>
    <sheet name="5.3.1 замена 14.12 " sheetId="6" r:id="rId6"/>
    <sheet name="5.4. Інф" sheetId="7" r:id="rId7"/>
    <sheet name="5.5. Зв'яз" sheetId="8" r:id="rId8"/>
    <sheet name="5.5. 1 замена 14.12" sheetId="9" r:id="rId9"/>
    <sheet name="5.6. Тран" sheetId="10" r:id="rId10"/>
    <sheet name="5.7 Інше" sheetId="11" r:id="rId11"/>
    <sheet name="6. Пров закупівлі" sheetId="12" r:id="rId12"/>
    <sheet name="Лист2" sheetId="13" r:id="rId13"/>
    <sheet name="Лист3" sheetId="14" r:id="rId14"/>
    <sheet name="Лист4" sheetId="15" r:id="rId15"/>
  </sheets>
  <definedNames>
    <definedName name="_xlnm.Print_Titles" localSheetId="11">'6. Пров закупівлі'!$7:$11</definedName>
    <definedName name="_xlnm.Print_Area" localSheetId="0">'5. Заг'!$A$1:$J$23</definedName>
    <definedName name="_xlnm.Print_Area" localSheetId="2">'5.1.1. Обсяги робіт'!$A$1:$J$86</definedName>
    <definedName name="_xlnm.Print_Area" localSheetId="6">'5.4. Інф'!$A$1:$J$28</definedName>
    <definedName name="_xlnm.Print_Area" localSheetId="8">'5.5. 1 замена 14.12'!$A$1:$I$69</definedName>
    <definedName name="_xlnm.Print_Area" localSheetId="11">'6. Пров закупівлі'!$A$6:$W$278</definedName>
  </definedNames>
  <calcPr fullCalcOnLoad="1"/>
</workbook>
</file>

<file path=xl/sharedStrings.xml><?xml version="1.0" encoding="utf-8"?>
<sst xmlns="http://schemas.openxmlformats.org/spreadsheetml/2006/main" count="1494" uniqueCount="858">
  <si>
    <t>4.1.4.1</t>
  </si>
  <si>
    <t>5.1.3</t>
  </si>
  <si>
    <t>Усього 5.1.3</t>
  </si>
  <si>
    <t>Придбання Cisco</t>
  </si>
  <si>
    <t>5.2.2</t>
  </si>
  <si>
    <t>5.2.3</t>
  </si>
  <si>
    <t>5.2.4</t>
  </si>
  <si>
    <t>5.2.5</t>
  </si>
  <si>
    <t>SRW2024-K9-EU/Комутатор SG 300-28 28-port Gigabit Managed Switch</t>
  </si>
  <si>
    <t>VWIC3-1MFT-G703=/Модуль 1-Port 3rd Gen Multiflex Trunk Voice/WAN Int. Card - G.703</t>
  </si>
  <si>
    <t>VIC3-2FXS/DID=/Інтерфейсний модуль Two-Port Voice Interface Card-FXS and DID</t>
  </si>
  <si>
    <t>Усього 5.2</t>
  </si>
  <si>
    <t>5.3</t>
  </si>
  <si>
    <t>Усього 5.3</t>
  </si>
  <si>
    <t>7.3</t>
  </si>
  <si>
    <t>7.4</t>
  </si>
  <si>
    <t>7.5</t>
  </si>
  <si>
    <t>7.6</t>
  </si>
  <si>
    <t>7.7</t>
  </si>
  <si>
    <t>7.8</t>
  </si>
  <si>
    <t>7.9</t>
  </si>
  <si>
    <t>7.10</t>
  </si>
  <si>
    <t>7.12</t>
  </si>
  <si>
    <t>7.15</t>
  </si>
  <si>
    <t>Вимірювач цифровий "Виток"</t>
  </si>
  <si>
    <t>Вимірювач параметрів силових трансформаторів К-540-3.</t>
  </si>
  <si>
    <t>Вимірювач параметрів ізоляції ІПІ-10 з інвертором</t>
  </si>
  <si>
    <t xml:space="preserve">Вимірювач опору заземлення ЦС4107 з Комплектом приладдя П4126М2 </t>
  </si>
  <si>
    <t>Вимірювач струмів КЗ (опору петлі "Ф-0") KEW4120A</t>
  </si>
  <si>
    <t>Ваги лабораторні CERTUS СВА-300-0, 005</t>
  </si>
  <si>
    <t>Вимірювальний комплекс КДЗ-1У</t>
  </si>
  <si>
    <t>Кулонометричний титратор за методом К.Фішера С-20 або С-32 для визначення вологовмісту трансформаторної оливи</t>
  </si>
  <si>
    <t>Дальномір LASER-1200S (NIKON)</t>
  </si>
  <si>
    <t>Ультразвуковий вимірювач відстані "даль 2"</t>
  </si>
  <si>
    <t>Cтрілочний комбінований мультиметр Ц 4380М</t>
  </si>
  <si>
    <t xml:space="preserve">Кліщі струмовимірювальні KEW2007A KYORITSU </t>
  </si>
  <si>
    <t>Будівництво, модернізація та реконструкція електричних мереж та обладнання</t>
  </si>
  <si>
    <t>тис.грн</t>
  </si>
  <si>
    <t>1.1</t>
  </si>
  <si>
    <t>1.2</t>
  </si>
  <si>
    <t>1</t>
  </si>
  <si>
    <t>1.1.1</t>
  </si>
  <si>
    <t>2.1</t>
  </si>
  <si>
    <t>2.1.1</t>
  </si>
  <si>
    <t>2.2</t>
  </si>
  <si>
    <t>3.1</t>
  </si>
  <si>
    <t>3.1.1</t>
  </si>
  <si>
    <t>3.2</t>
  </si>
  <si>
    <t>4.1</t>
  </si>
  <si>
    <t>4.1.1</t>
  </si>
  <si>
    <t>4.2</t>
  </si>
  <si>
    <t>7.1</t>
  </si>
  <si>
    <t>7.2</t>
  </si>
  <si>
    <t>9.1</t>
  </si>
  <si>
    <t>9.1.1</t>
  </si>
  <si>
    <t>9.2</t>
  </si>
  <si>
    <t>9.3</t>
  </si>
  <si>
    <t>10.1</t>
  </si>
  <si>
    <t>10.2</t>
  </si>
  <si>
    <t>Наявність проектної документації (дата і номер документа про її затвердження)*</t>
  </si>
  <si>
    <t>10.2.1</t>
  </si>
  <si>
    <t>10.3</t>
  </si>
  <si>
    <t>будівництво ПЛ-0,4 кВ самоутримним ізольованим проводом</t>
  </si>
  <si>
    <t>будівництво ПЛ-0,4 кВ голим проводом</t>
  </si>
  <si>
    <t>2</t>
  </si>
  <si>
    <t>3</t>
  </si>
  <si>
    <t>4</t>
  </si>
  <si>
    <t>7</t>
  </si>
  <si>
    <t>8</t>
  </si>
  <si>
    <t>9</t>
  </si>
  <si>
    <t>10</t>
  </si>
  <si>
    <t>11</t>
  </si>
  <si>
    <t>км / шт</t>
  </si>
  <si>
    <t>Плата Moxa CP-168EL з кабелем MOXA OPT8D+</t>
  </si>
  <si>
    <t>тис.грн.</t>
  </si>
  <si>
    <t>реконструкція, усього</t>
  </si>
  <si>
    <t>ПЛ-110 (150) кВ, усього</t>
  </si>
  <si>
    <t>будівництво, усього</t>
  </si>
  <si>
    <t>ПЛ-35 кВ, усього</t>
  </si>
  <si>
    <t>ПЛ-6 (10) кВ, усього</t>
  </si>
  <si>
    <t>ПЛ-0,4 кВ, усього</t>
  </si>
  <si>
    <t>4.1.1.1</t>
  </si>
  <si>
    <t>110 кВ (150 кВ)</t>
  </si>
  <si>
    <t>110 кВ (220,150 кВ)</t>
  </si>
  <si>
    <t>Рік будівництва або попередньої реконструкції</t>
  </si>
  <si>
    <t>реконструкція ПЛ-0,4 кВ голим проводом</t>
  </si>
  <si>
    <t>4.2.1.1</t>
  </si>
  <si>
    <t>рекострукція ПЛ-0,4 кВ самоутримним ізольованим проводом</t>
  </si>
  <si>
    <t>4.2.2.1</t>
  </si>
  <si>
    <t xml:space="preserve">заміна вимірювальних трансформаторів </t>
  </si>
  <si>
    <t>1.1.2.4.2</t>
  </si>
  <si>
    <t>Технічне переоснащення ПС 35/10 "Городська" в м. Ніжин Чернігівської області 3 черга</t>
  </si>
  <si>
    <t>Проектні роботи з з технічного переоснащення ПС 110/10 "НРЗ" в м. Ніжин Чернігівської області 1-2 черга</t>
  </si>
  <si>
    <t>Проектні роботи з технічного переоснащення ПС 110/35/10 кВ "Прилуки" в частині заміни БСК 10</t>
  </si>
  <si>
    <t xml:space="preserve">WS-C3560V2-48PS-S /Комутатор CISCO CATALYST 3560V2 48 10/100 POE + 4 SFP + IPB </t>
  </si>
  <si>
    <t>АТС Н-Сіверський РЕМ</t>
  </si>
  <si>
    <t>3.10</t>
  </si>
  <si>
    <t xml:space="preserve">Т.в.о. Голови правління </t>
  </si>
  <si>
    <t>В.І.Ткач</t>
  </si>
  <si>
    <t>4.2.2.4</t>
  </si>
  <si>
    <t>4.2.2.5</t>
  </si>
  <si>
    <t>Проектні роботи з технічного переоснащення ПС 110/35/10 кВ "Куликівка" в смт. Куликівка Чернігівської області 3 черга</t>
  </si>
  <si>
    <t>Проектні роботи з реконструкції ПЛ  0,4 кВ</t>
  </si>
  <si>
    <t>Проектні роботи з з технічного переоснащення ПС 35/10 "Варва" в смт. Варва Чернігівської області</t>
  </si>
  <si>
    <t>Проектні роботи з технічного переоснащення ПС 35/10 "Талалаївка 2" в смт. Талалаївка Чернігівської області (заміна Т-1, Т-2, Т-3)</t>
  </si>
  <si>
    <t>Проектні роботи з технічного переоснащення ПС 35/10 "Ю.Восточная" в м. Прилуки Чернігівської області (заміна Т-1, Т-2)</t>
  </si>
  <si>
    <t>Чернігівські МЕМ</t>
  </si>
  <si>
    <t>Ніжинський РЕМ</t>
  </si>
  <si>
    <t>Ічнянський РЕМ</t>
  </si>
  <si>
    <t>Прилуцький РЕМ</t>
  </si>
  <si>
    <t>Борзнянський РЕМ (8 ПС)</t>
  </si>
  <si>
    <t>Чернігівський РЕМ (3 ПС)</t>
  </si>
  <si>
    <t>Бобровицький РЕМ</t>
  </si>
  <si>
    <t>Центральний диспетчерський пункт ПАТ "Чернігівобленерго"</t>
  </si>
  <si>
    <t>Бахмачський РЕМ</t>
  </si>
  <si>
    <t>Менський РЕМ</t>
  </si>
  <si>
    <t>12</t>
  </si>
  <si>
    <t>Городнянський РЕМ</t>
  </si>
  <si>
    <t>13</t>
  </si>
  <si>
    <t>Корюківський РЕМ (1 ПС)</t>
  </si>
  <si>
    <t>14</t>
  </si>
  <si>
    <t>15</t>
  </si>
  <si>
    <t>Борзнянський РЕМ (1 ПС)</t>
  </si>
  <si>
    <t>16</t>
  </si>
  <si>
    <t>Носівський РЕМ</t>
  </si>
  <si>
    <t>17</t>
  </si>
  <si>
    <t>Щорський РЕМ</t>
  </si>
  <si>
    <t>18</t>
  </si>
  <si>
    <t>19</t>
  </si>
  <si>
    <t>20</t>
  </si>
  <si>
    <t>21</t>
  </si>
  <si>
    <t>Коропський РЕМ</t>
  </si>
  <si>
    <t>22</t>
  </si>
  <si>
    <t>Семенівський РЕМ</t>
  </si>
  <si>
    <t>24</t>
  </si>
  <si>
    <t>Н.Сіверський РЕМ</t>
  </si>
  <si>
    <t>Куликівський РЕМ</t>
  </si>
  <si>
    <t>Сосницький РЕМ</t>
  </si>
  <si>
    <t>27</t>
  </si>
  <si>
    <t>Варвинський РЕМ</t>
  </si>
  <si>
    <t>28</t>
  </si>
  <si>
    <t>Срібнянський РЕМ</t>
  </si>
  <si>
    <t>29</t>
  </si>
  <si>
    <t>Талалаєвський РЕМ</t>
  </si>
  <si>
    <t>2.10</t>
  </si>
  <si>
    <t>2.11</t>
  </si>
  <si>
    <t>2.12</t>
  </si>
  <si>
    <t>2.13</t>
  </si>
  <si>
    <t>2.14</t>
  </si>
  <si>
    <t>2.16</t>
  </si>
  <si>
    <t>2.18</t>
  </si>
  <si>
    <t>—</t>
  </si>
  <si>
    <t xml:space="preserve"> </t>
  </si>
  <si>
    <t>Р.В.Стройний</t>
  </si>
  <si>
    <t xml:space="preserve">Директор фінансовий </t>
  </si>
  <si>
    <t>М.П.</t>
  </si>
  <si>
    <t>Система керування  й отримання даних</t>
  </si>
  <si>
    <t>тис.грн без ПДВ</t>
  </si>
  <si>
    <t>7.25</t>
  </si>
  <si>
    <t>Драбина приставна модульна ЛПВС-М-24</t>
  </si>
  <si>
    <t>Маркувальний пристрій ProMark Т-800</t>
  </si>
  <si>
    <t>4.3.2.1</t>
  </si>
  <si>
    <t>Проектні роботи з модернізації ПС 110/10 кВ "Придеснянська" в частині технічного переоснащення пристроїв компенсації ємнісних струмів</t>
  </si>
  <si>
    <t>* Програма розвитку електричних мереж ПАТ "ЧЕРНІГІВОБЛЕНЕРГО"</t>
  </si>
  <si>
    <t>1. Будівництво, модернізація та реконструкція електричних мереж та обладнання</t>
  </si>
  <si>
    <t>1.1.2.2</t>
  </si>
  <si>
    <t>Усього 1.1.2.2</t>
  </si>
  <si>
    <t>1.1.2.4</t>
  </si>
  <si>
    <t>1.1.2.4.1</t>
  </si>
  <si>
    <t>Усього 1.1.2.4</t>
  </si>
  <si>
    <t>Усього 1.1.2</t>
  </si>
  <si>
    <t>1.1.5.1</t>
  </si>
  <si>
    <t>1.1.5.1.1</t>
  </si>
  <si>
    <t>1.1.5.1.2</t>
  </si>
  <si>
    <t>Усього 1.1.5.1</t>
  </si>
  <si>
    <t>1.1.5.2</t>
  </si>
  <si>
    <t>Усього 1.1.5.2</t>
  </si>
  <si>
    <t>Усього 1.1.5</t>
  </si>
  <si>
    <t>Усього 1.1</t>
  </si>
  <si>
    <t>Усього 1.2</t>
  </si>
  <si>
    <t>2. Заходи зі зниження нетехнічних витрат електричної енергії</t>
  </si>
  <si>
    <t>Усього 2.1</t>
  </si>
  <si>
    <t>Усього 2.2</t>
  </si>
  <si>
    <t>3.1.1.1</t>
  </si>
  <si>
    <t>3.1.1.2</t>
  </si>
  <si>
    <t>3.1.1.3</t>
  </si>
  <si>
    <t>3.1.1.4</t>
  </si>
  <si>
    <t>Усього 3.1.1</t>
  </si>
  <si>
    <t>Усього 3.1</t>
  </si>
  <si>
    <t>3.2.3</t>
  </si>
  <si>
    <t>3.2.4</t>
  </si>
  <si>
    <t>Усього 3.2</t>
  </si>
  <si>
    <t>4. Впровадження та розвиток інформаційних технологій</t>
  </si>
  <si>
    <t>3. Впровадження та розвиток автоматизованих систем диспетчерсько-технологічного керування (АСДТК)</t>
  </si>
  <si>
    <t>Усього 4.1.1</t>
  </si>
  <si>
    <t>Усього 4.1</t>
  </si>
  <si>
    <t>Усього 4.2.1</t>
  </si>
  <si>
    <t>Усього 4.2</t>
  </si>
  <si>
    <t>Усього 4.3</t>
  </si>
  <si>
    <t>Усього по розділу 4:</t>
  </si>
  <si>
    <t>5. Впровадження та розвиток систем зв'язку</t>
  </si>
  <si>
    <t>Усього 5.1.1</t>
  </si>
  <si>
    <t>Усього 5.1</t>
  </si>
  <si>
    <t>6. Модернізація та закупівля колісної техніки</t>
  </si>
  <si>
    <t>6.3</t>
  </si>
  <si>
    <t xml:space="preserve">7. Інше </t>
  </si>
  <si>
    <t>Усього по розділу 1:</t>
  </si>
  <si>
    <t>Усього по розділу 2:</t>
  </si>
  <si>
    <t>Усього по розділу 3:</t>
  </si>
  <si>
    <t>Усього по розділу 5:</t>
  </si>
  <si>
    <t>Усього по розділу 6:</t>
  </si>
  <si>
    <t>Усього по розділу 7:</t>
  </si>
  <si>
    <t>1.1.2.1</t>
  </si>
  <si>
    <t>Усього 1.1.2.1</t>
  </si>
  <si>
    <t>Будівництво нових ПС, РП та ТП усього, з них:</t>
  </si>
  <si>
    <t>Усього 1.1.3</t>
  </si>
  <si>
    <t>Усього 1.1.1</t>
  </si>
  <si>
    <t>Реконструкція ПС, РП та ТП усього, з них:</t>
  </si>
  <si>
    <t>Усього 1.1.4</t>
  </si>
  <si>
    <t xml:space="preserve">впровадження комерційного обліку  електричної енергії </t>
  </si>
  <si>
    <t>Усього 2.1.1</t>
  </si>
  <si>
    <t>2.1.2</t>
  </si>
  <si>
    <t>впровадження обліку  електричної енергії на межі структурних підрозділів (районів електричних мереж, філій)</t>
  </si>
  <si>
    <t>Усього 2.1.2</t>
  </si>
  <si>
    <t>2.1.3</t>
  </si>
  <si>
    <t>заміна вимірювальних трансформаторів</t>
  </si>
  <si>
    <t>Усього 2.1.3</t>
  </si>
  <si>
    <t>4.3.1</t>
  </si>
  <si>
    <t>4.3.2</t>
  </si>
  <si>
    <t>4.3.4</t>
  </si>
  <si>
    <t>4.3.5</t>
  </si>
  <si>
    <t>4.3.6</t>
  </si>
  <si>
    <t>1.2.5</t>
  </si>
  <si>
    <t>1.2.6</t>
  </si>
  <si>
    <t>2.1.1.1</t>
  </si>
  <si>
    <t>1.2.11</t>
  </si>
  <si>
    <t>1.2.12</t>
  </si>
  <si>
    <t>Реконструкція ЛЕП (КЛ, ПЛ), усього з них:</t>
  </si>
  <si>
    <t>1.2.4.1</t>
  </si>
  <si>
    <t>Будівництво нових ПС, РП та ТП, усього з них:</t>
  </si>
  <si>
    <t>1.3.1</t>
  </si>
  <si>
    <t>1.3.2</t>
  </si>
  <si>
    <t>Реконструкція ПС, ТП та РП, усього з них:</t>
  </si>
  <si>
    <t>1.4.1</t>
  </si>
  <si>
    <t>1.4.2</t>
  </si>
  <si>
    <t>1.4.3</t>
  </si>
  <si>
    <t>1.5.3</t>
  </si>
  <si>
    <t>5.1.1. Обсяги будівництва, реконструкції та модернізації об'єктів електричних мереж на прогнозний період</t>
  </si>
  <si>
    <t>Інвентарний номер об'єкта</t>
  </si>
  <si>
    <t>реконструкція без улаштування розвантажувальних ТП</t>
  </si>
  <si>
    <t>3.2.1.1</t>
  </si>
  <si>
    <t>6.1.1</t>
  </si>
  <si>
    <t>8.1</t>
  </si>
  <si>
    <t>8.1.1</t>
  </si>
  <si>
    <t>8.2</t>
  </si>
  <si>
    <t>ТП, РП-6 (10) кВ, усього</t>
  </si>
  <si>
    <t>11.1</t>
  </si>
  <si>
    <t>11.1.1</t>
  </si>
  <si>
    <t>11.2</t>
  </si>
  <si>
    <t>11.2.1</t>
  </si>
  <si>
    <t>11.3</t>
  </si>
  <si>
    <t>11.3.1</t>
  </si>
  <si>
    <t>КЛ-110 кВ, усього</t>
  </si>
  <si>
    <t>5.1</t>
  </si>
  <si>
    <t>5.1.1</t>
  </si>
  <si>
    <t>5.2</t>
  </si>
  <si>
    <t>5.2.1</t>
  </si>
  <si>
    <t>* За наявності проектної документації вказати дату і номер документа про її затвердження.</t>
  </si>
  <si>
    <t>У разі відсутності проектної документації вказати дату, до якої планується виготовлення цієї документації.</t>
  </si>
  <si>
    <t>5.2. Заходи зі зниження нетехнічних витрат електричної енергії</t>
  </si>
  <si>
    <t>економічний ефект (зниження ТВЕ)</t>
  </si>
  <si>
    <t>Покращення обліку електричної енергії, у т.ч.:</t>
  </si>
  <si>
    <t xml:space="preserve">  впровадження  комерційного обліку 
  електричної енергії 
</t>
  </si>
  <si>
    <t xml:space="preserve">  впровадження обліку електричної енергії на межі структурних підрозділів (районів електричних мереж, філій)</t>
  </si>
  <si>
    <t>впровадження обліку споживання електричної енергії населенням, у т.ч.:</t>
  </si>
  <si>
    <t>придбання стендів повірки, зразкових лічильників, повірочних лабораторій</t>
  </si>
  <si>
    <t>кількість*</t>
  </si>
  <si>
    <t>1.3.</t>
  </si>
  <si>
    <t>5.3. Впровадження та розвиток АСДТК</t>
  </si>
  <si>
    <t>Телемеханіка підстанцій</t>
  </si>
  <si>
    <t>Назва складової частини проекта</t>
  </si>
  <si>
    <t>Період реалізації складової частини проекту</t>
  </si>
  <si>
    <t xml:space="preserve">Усього </t>
  </si>
  <si>
    <t>5.4. Впровадження та розвиток інформаційних технологій</t>
  </si>
  <si>
    <t>Закупівля нових та модернізація наявних апаратних засобів інформатизації, у т.ч.:</t>
  </si>
  <si>
    <t>закупівля та модернізація робочих станцій</t>
  </si>
  <si>
    <t>закупівля та модернізація серверів</t>
  </si>
  <si>
    <t>закупівля та модернізація активного обладнання комп'ютерних мереж</t>
  </si>
  <si>
    <t>побудова та модернізація структурованих кабельних мереж</t>
  </si>
  <si>
    <t>Закупівля системного програмного забезпечення, у т.ч.:</t>
  </si>
  <si>
    <t>1.1.5.2.13</t>
  </si>
  <si>
    <t>1.1.5.2.14</t>
  </si>
  <si>
    <t xml:space="preserve">Інше </t>
  </si>
  <si>
    <t>Магістральній канал зв'язку Чернігів-Куликівка-Ніжин, цифрові канали до віддалених РЕМ</t>
  </si>
  <si>
    <t>2003-2004</t>
  </si>
  <si>
    <t>Магістральній канал зв'язку Ніжин-Ічня-Прилуки</t>
  </si>
  <si>
    <t>Магістральній канал зв'язку Чернігів-Ріпки-Городня</t>
  </si>
  <si>
    <t>Магістральній канал зв'язку Городня-Щорс-Корюківка</t>
  </si>
  <si>
    <t>Магістральній канал зв'язку Корюківка-Мена</t>
  </si>
  <si>
    <t>Магістральній канал зв'язку Мена-Борзна, Ніжин-Носівка, Носівка-Козелець</t>
  </si>
  <si>
    <t>Магістральній канал зв'язку Борзна-Бахмач</t>
  </si>
  <si>
    <t>Магістральній канал зв'язку Прилуки-Варва-Срібне-Талалаївка</t>
  </si>
  <si>
    <t>Магістральній канал зв'язку Корюківка-Семенівка-Н.Сіверський</t>
  </si>
  <si>
    <t>Магістральній канал зв'язку Бахмач-ПС35/10Дмитровка-Талалаївка</t>
  </si>
  <si>
    <t xml:space="preserve">АТС Куликівка, Ніжин, Прилуки РЕМ, ПдВЕМ, </t>
  </si>
  <si>
    <t>АТС Ічня, Ріпки, Городня, Щорс, Корюківка, Мена РЕМ</t>
  </si>
  <si>
    <t>АТС Козелець РЕМ</t>
  </si>
  <si>
    <t>АТС Борзна, Семенівка РЕМ</t>
  </si>
  <si>
    <t>АТС Носівка РЕМ</t>
  </si>
  <si>
    <t>АТС Бахмач РЕМ</t>
  </si>
  <si>
    <t>3.9</t>
  </si>
  <si>
    <t>1.1.5</t>
  </si>
  <si>
    <t>підрядний</t>
  </si>
  <si>
    <t>4.3.6.1</t>
  </si>
  <si>
    <t>1.1.5.2.1</t>
  </si>
  <si>
    <t>4.3.7.2</t>
  </si>
  <si>
    <t>Придбання ліцензії SAP R3</t>
  </si>
  <si>
    <t>5.3.1</t>
  </si>
  <si>
    <t>Впровадження кол-центру</t>
  </si>
  <si>
    <t>Модернізація ПС 110/35/10 кВ "Корюківка" в м.Корюківка Чернігівської області 1 черга</t>
  </si>
  <si>
    <t>Модернізація ПС 110/35/10 кВ "Козелець" в смт.Козелець Чернігівської області 1 черга</t>
  </si>
  <si>
    <t>тис.грн (без ПДВ)</t>
  </si>
  <si>
    <t>тис.грн                   (без ПДВ)</t>
  </si>
  <si>
    <t>Вартість одиниці продукції,
тис.грн (без ПДВ)</t>
  </si>
  <si>
    <t>капіталовкладення,
тис. грн (без ПДВ)</t>
  </si>
  <si>
    <t>тис.грн               (без ПДВ)</t>
  </si>
  <si>
    <t>тис.грн                  (без ПДВ)</t>
  </si>
  <si>
    <t>Вартість реалізації  складової частини проекту відповідно до проектної документації,               тис.грн (без ПДВ)</t>
  </si>
  <si>
    <t xml:space="preserve">Фактичне фінансування реалізації складової частини проекту станом на дату початку базового періоду, тис.грн (без ПДВ)  </t>
  </si>
  <si>
    <t>Будівництво нових ЛЕП (КЛ, ПЛ), усього, з них:</t>
  </si>
  <si>
    <t>1963 р.</t>
  </si>
  <si>
    <t>1979 р.</t>
  </si>
  <si>
    <t>Реконструкція ПЛ 10 кВ «Бахмач-тягова – ТП-403» ділянки від ЗТП-401 до ЗТП-411 та від ЗТП-401 до РП-1 м. Бахмач, Бахмацький район, Чернігівська обл.</t>
  </si>
  <si>
    <t xml:space="preserve">Формування RTU560 </t>
  </si>
  <si>
    <t>Побудова мережі передачі даних "остання миля" в Куликівському РЕМ</t>
  </si>
  <si>
    <t>4.1.1.2</t>
  </si>
  <si>
    <t>Впровадження SAP R3</t>
  </si>
  <si>
    <t>Закупівля та модернізація серверів</t>
  </si>
  <si>
    <t>Усього 4.1.2</t>
  </si>
  <si>
    <t>Інші засоби інформатизації</t>
  </si>
  <si>
    <t>4.1.3</t>
  </si>
  <si>
    <t>Закупівля та модернізація активного обладнання комп'ютерних мереж</t>
  </si>
  <si>
    <t>4.1.3.1</t>
  </si>
  <si>
    <t>4.1.3.2</t>
  </si>
  <si>
    <t>Усього 4.1.3</t>
  </si>
  <si>
    <t>4.1.4</t>
  </si>
  <si>
    <t>Побудова та модернізація структурованих кабельних мереж</t>
  </si>
  <si>
    <t>Проектні роботи з реконструкції КЛ 10 кВ</t>
  </si>
  <si>
    <t>Комплекс програмного забезпечення MicroSCADA Pro</t>
  </si>
  <si>
    <t>Сервер HP ProLiant DL350 Gen9</t>
  </si>
  <si>
    <t>ДБЖ SMT1500RMI2U APC</t>
  </si>
  <si>
    <t>ДБЖ SMT1000I APC</t>
  </si>
  <si>
    <t>Модуль процесора 560CMU02 R0002 1KGT012600R0002</t>
  </si>
  <si>
    <t>Флеш-карта Basic License 250 DP 1KGT201443R0001</t>
  </si>
  <si>
    <t>Стійка (корзина) 560MPR01 R0001 1KGT012500R0001</t>
  </si>
  <si>
    <t>Модуль живлення  23VG23 R0001 1KGT005500R0001</t>
  </si>
  <si>
    <t>Модуль дискретних входів 23BЕ23 R5001 1KGT012100R5001</t>
  </si>
  <si>
    <t>Модуль дискретних виходів 23BA20 R5312 GSNE000700R5312</t>
  </si>
  <si>
    <t>Мультиметр 560CVD03 R0055 1KGT028000R0055</t>
  </si>
  <si>
    <t>Кабель КПВЭО-ВП (200) 4х2х0,51 (S-FTP-cat. 5E)</t>
  </si>
  <si>
    <t>2.1.1.2</t>
  </si>
  <si>
    <t>Вимірювач характеристик трифазних і однофазних вимірювальних та силових трансформаторів ATTI-TP</t>
  </si>
  <si>
    <t>Прилад багатофункційний щитовий PM130EH PLUS</t>
  </si>
  <si>
    <t>Комплекс перевірочний СМС-356</t>
  </si>
  <si>
    <t>Мікроомметр ЦС4105</t>
  </si>
  <si>
    <t>Вартість одиниці продукції,
тис.грн           (без ПДВ)</t>
  </si>
  <si>
    <t>Компьютер АРМ диспетчера</t>
  </si>
  <si>
    <t>3.1.1.5</t>
  </si>
  <si>
    <t>3.1.1.6</t>
  </si>
  <si>
    <t xml:space="preserve">Організація останньої милі </t>
  </si>
  <si>
    <t>Усього 4.1.4</t>
  </si>
  <si>
    <t>У т.ч. по роках:</t>
  </si>
  <si>
    <t>Заходи зі зниження нетехнічних витрат електричної енергії</t>
  </si>
  <si>
    <t>Впровадження та розвиток  автоматизованих систем диспетчерсько-технологічного керування (АСДТК)</t>
  </si>
  <si>
    <t>Впровадження та розвиток систем зв'язку</t>
  </si>
  <si>
    <t>Модернізація та закупівля колісної техніки</t>
  </si>
  <si>
    <t>усього на рік</t>
  </si>
  <si>
    <t xml:space="preserve">економічний ефект </t>
  </si>
  <si>
    <t>млн. кВт.год</t>
  </si>
  <si>
    <t>окупність у роках</t>
  </si>
  <si>
    <t>Будівництво нових ЛЕП (КЛ, ПЛ), усього з них:</t>
  </si>
  <si>
    <t>1.1.4.1</t>
  </si>
  <si>
    <t>у т.ч. з магістральними ізольованими проводами</t>
  </si>
  <si>
    <t>Проектні роботи з реконструкції КЛ 0,4 кВ</t>
  </si>
  <si>
    <t>Прилад ADTR-2K для вимірювання діелектричної проникності, діелектричних втрат та опору трансформаторної оливи</t>
  </si>
  <si>
    <t>Модернізація ПС 35/10 кВ "Варва" смт. Варва Чернігівської області 1 черга</t>
  </si>
  <si>
    <t>1.1.5.2.2</t>
  </si>
  <si>
    <t>1.1.5.2.3</t>
  </si>
  <si>
    <t>1.1.5.2.4</t>
  </si>
  <si>
    <t>1.1.5.2.5</t>
  </si>
  <si>
    <t>КЛ-35 кВ, усього</t>
  </si>
  <si>
    <t>6.2.1</t>
  </si>
  <si>
    <t>КЛ-6 (10) кВ, усього</t>
  </si>
  <si>
    <t>ПС з вищим класом напруги 110 (150) кВ, усього</t>
  </si>
  <si>
    <t>модернізація, усього</t>
  </si>
  <si>
    <t>ПС з вищим класом напруги 35 кВ, усього</t>
  </si>
  <si>
    <t>2.4</t>
  </si>
  <si>
    <t>2.5</t>
  </si>
  <si>
    <t>Директор технічний</t>
  </si>
  <si>
    <t>О.І. Коломієць</t>
  </si>
  <si>
    <t>7.1.1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</si>
  <si>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</si>
  <si>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</si>
  <si>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</si>
  <si>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</si>
  <si>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</si>
  <si>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</si>
  <si>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</si>
  <si>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</si>
  <si>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</si>
  <si>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</si>
  <si>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Автотранспортний парк</t>
  </si>
  <si>
    <t>ВАТ ЕК "Чернігівобленерго"</t>
  </si>
  <si>
    <t>10 кВ</t>
  </si>
  <si>
    <t>1.1.2</t>
  </si>
  <si>
    <t>1.1.3</t>
  </si>
  <si>
    <t>6-20 кВ</t>
  </si>
  <si>
    <t>Спосіб виконання робіт (підрядний/ господарський)</t>
  </si>
  <si>
    <t>Найменування відповідної державної програми</t>
  </si>
  <si>
    <t>_________________</t>
  </si>
  <si>
    <t>(підпис)</t>
  </si>
  <si>
    <t xml:space="preserve">    "____" ____________ 20___ року</t>
  </si>
  <si>
    <t>Мегаомметри ЦС0202-2, ЭСО 201/2Г</t>
  </si>
  <si>
    <t>Система керування й отримання даних</t>
  </si>
  <si>
    <t>5.3.1. Етапи впровадження  проекту АСДТК ліцензіата</t>
  </si>
  <si>
    <t>інші засоби інформатизації</t>
  </si>
  <si>
    <t>інформаційна система управління виробництвом</t>
  </si>
  <si>
    <t xml:space="preserve">0,4 кВ </t>
  </si>
  <si>
    <t>Модернізація ПС, ТП та РП, усього, з них:</t>
  </si>
  <si>
    <t>Покращення обліку електроенергії, у т.ч.:</t>
  </si>
  <si>
    <t>впровадження обліку споживання електроенергії населенням, у т.ч.:</t>
  </si>
  <si>
    <t xml:space="preserve">Телемеханіка підстанцій                                                      </t>
  </si>
  <si>
    <t>впровадження корпоративного зв`язку ліцензіата</t>
  </si>
  <si>
    <t>6</t>
  </si>
  <si>
    <t>№ сторінки обґрунтовуваль-них матеріалів</t>
  </si>
  <si>
    <t xml:space="preserve"> "___" ________________ 20___ року</t>
  </si>
  <si>
    <t>3.2.2</t>
  </si>
  <si>
    <t>реконструкція з улаштуванням розвантажувальних ТП</t>
  </si>
  <si>
    <t>3.2.2.1</t>
  </si>
  <si>
    <t>4.2.2.2</t>
  </si>
  <si>
    <t xml:space="preserve">Закупівля нових та модернізація наявних апаратних засобів інформатизації, у т.ч.: </t>
  </si>
  <si>
    <t>Закупівля та модернізація робочих станцій</t>
  </si>
  <si>
    <t xml:space="preserve">Закупівля та модернізація прикладного програмного забезпечення, у т.ч.: </t>
  </si>
  <si>
    <t>Найменування енергооб'єкта, його місцезнаходження та потужність</t>
  </si>
  <si>
    <t>4.1.2</t>
  </si>
  <si>
    <t>4.1.2.1</t>
  </si>
  <si>
    <t>9.2.1</t>
  </si>
  <si>
    <t>10.1.1</t>
  </si>
  <si>
    <t>№</t>
  </si>
  <si>
    <t>Обсяги робіт та капіталовкладень
ПЛ, КЛ / ПС</t>
  </si>
  <si>
    <t>6.1</t>
  </si>
  <si>
    <t>6.2</t>
  </si>
  <si>
    <t>ІV квартал</t>
  </si>
  <si>
    <t>5.І. Будівництво, модернізація та реконструкція електричних мереж та обладнання</t>
  </si>
  <si>
    <t>Директор фінансовий</t>
  </si>
  <si>
    <t>Р.В. Стройний</t>
  </si>
  <si>
    <t>5</t>
  </si>
  <si>
    <t>№ з/п</t>
  </si>
  <si>
    <t>Цільові програми</t>
  </si>
  <si>
    <t>у т.ч. по роках:</t>
  </si>
  <si>
    <t>%</t>
  </si>
  <si>
    <t>Впровадження та розвиток інформаційних технологій</t>
  </si>
  <si>
    <t>Інше</t>
  </si>
  <si>
    <t>Складові цільової програми</t>
  </si>
  <si>
    <t>ТС 0,4 кВ</t>
  </si>
  <si>
    <t>ТС, ТН 6(10)-150 кВ</t>
  </si>
  <si>
    <t>сільським</t>
  </si>
  <si>
    <t>міським</t>
  </si>
  <si>
    <t>зниження ТВЕ</t>
  </si>
  <si>
    <t>Придбання обладнання, що не вимагає монтажу</t>
  </si>
  <si>
    <t>кількість</t>
  </si>
  <si>
    <t>І квартал</t>
  </si>
  <si>
    <t>ІІ квартал</t>
  </si>
  <si>
    <t>ІІІ квартал</t>
  </si>
  <si>
    <t>Одиниця виміру</t>
  </si>
  <si>
    <t>Джерело фінансування</t>
  </si>
  <si>
    <t>110 кВ</t>
  </si>
  <si>
    <t>км</t>
  </si>
  <si>
    <t>3.2.1</t>
  </si>
  <si>
    <t>Найменування заходів інвестиційної програми</t>
  </si>
  <si>
    <t>У т. ч. по кварталах</t>
  </si>
  <si>
    <t>Усього по програмі</t>
  </si>
  <si>
    <t>1.3.3</t>
  </si>
  <si>
    <t>1.2.1</t>
  </si>
  <si>
    <t>1.2.3</t>
  </si>
  <si>
    <t>1.2.4</t>
  </si>
  <si>
    <t>Модернізація ПС, ТП та РП, усього з них:</t>
  </si>
  <si>
    <t>1.5.1</t>
  </si>
  <si>
    <t>1.5.2</t>
  </si>
  <si>
    <t>Придбання та впровадження засобів диспетчерсько-технологічного керування замість морально і фізично зношених та для розширення наявних, у т.ч.:</t>
  </si>
  <si>
    <t>Системи зв'язку, у т.ч.:</t>
  </si>
  <si>
    <t>КЛ-0,4 кВ, усього</t>
  </si>
  <si>
    <t>Реконструкція ЛЕП (КЛ, ПЛ), усього, з них:</t>
  </si>
  <si>
    <t>Шафа сушильна SNOL 220/350</t>
  </si>
  <si>
    <t>5.3.2</t>
  </si>
  <si>
    <t>5.3.3</t>
  </si>
  <si>
    <t>5.3.4</t>
  </si>
  <si>
    <t xml:space="preserve">Фінансування реалізації складової частини проекту, перебдачене інвестиційною програмою на базовий період,                                 тис.грн (без ПДВ)  </t>
  </si>
  <si>
    <t>Фінансування, передбачене на реалізацію складової частини проекту інвестиційною програмою на прогнозний пеіод , тис.грн (без ПДВ)</t>
  </si>
  <si>
    <t>Сума коштів, необхідна для завершення реалізації складової частини проекту з розбивкою по роках, тис.грн (без ПДВ)</t>
  </si>
  <si>
    <t>тис.грн                 (без ПДВ)</t>
  </si>
  <si>
    <t>Вартість реалізації складової частини проекту відповідно до проектної документації,             тис.грн (без ПДВ)</t>
  </si>
  <si>
    <t xml:space="preserve">Фінансування реалізації складової частини проекту, перебдачене інвестиційною програмою  на базовий період,                                тис.грн (без ПДВ)  </t>
  </si>
  <si>
    <t xml:space="preserve">Фінансування, передбачене на реалізацію складової частини проекту інвестиційною програмою на прогнозний період, тис.грн (без ПДВ) </t>
  </si>
  <si>
    <t>Сума коштів, необхідна для завершення реалізації складової частини проекту з розбивкою по роках, тис.грн. (без ПДВ)</t>
  </si>
  <si>
    <t>тис.грн            (без ПДВ)</t>
  </si>
  <si>
    <t>Ліцензування програмного забезпечення за програмою Microsoft Enterprise Agreement</t>
  </si>
  <si>
    <t>Усього 4.3.6</t>
  </si>
  <si>
    <t>проект</t>
  </si>
  <si>
    <t>4.2.2.3</t>
  </si>
  <si>
    <t>Магістральній канал зв'язку Мена-Сосниця</t>
  </si>
  <si>
    <t>Магістральній канал зв'язку Носівка-Бобровиця, Сосниця-Короп</t>
  </si>
  <si>
    <t>Ріпкінський РЕМ</t>
  </si>
  <si>
    <t>Корюківський РЕМ (3 ПС)</t>
  </si>
  <si>
    <t>1974 р.</t>
  </si>
  <si>
    <t>1.1.2.3</t>
  </si>
  <si>
    <t>1.1.2.3.1</t>
  </si>
  <si>
    <t>Усього 1.1.2.3</t>
  </si>
  <si>
    <t>Роботи з модернізації та розширення АСКОЕ ЧнОЕ</t>
  </si>
  <si>
    <t>3.3</t>
  </si>
  <si>
    <t>3.4</t>
  </si>
  <si>
    <t>(П. І. Б.)</t>
  </si>
  <si>
    <t>М. П.</t>
  </si>
  <si>
    <t>2.8</t>
  </si>
  <si>
    <t>2.9</t>
  </si>
  <si>
    <t>Усього</t>
  </si>
  <si>
    <t>2.3</t>
  </si>
  <si>
    <t>Кабель КВВГЭ 19х1</t>
  </si>
  <si>
    <t>Кабель КВВГЭ 7х1</t>
  </si>
  <si>
    <t>Кабель КВВГЭ 5х1</t>
  </si>
  <si>
    <t>3.5</t>
  </si>
  <si>
    <t>3.6</t>
  </si>
  <si>
    <t>3.7</t>
  </si>
  <si>
    <t>3.8</t>
  </si>
  <si>
    <t>1.2.2</t>
  </si>
  <si>
    <t>4.3</t>
  </si>
  <si>
    <t>шт.</t>
  </si>
  <si>
    <t>2.6</t>
  </si>
  <si>
    <t>2.2.2</t>
  </si>
  <si>
    <t>2.7</t>
  </si>
  <si>
    <t>Примітка</t>
  </si>
  <si>
    <t>білінгових систем</t>
  </si>
  <si>
    <t>Архіватори мови</t>
  </si>
  <si>
    <t>Цифрові реєстратори подій</t>
  </si>
  <si>
    <t>35 кВ</t>
  </si>
  <si>
    <t xml:space="preserve">      </t>
  </si>
  <si>
    <t>4.2.1</t>
  </si>
  <si>
    <t>4.2.2</t>
  </si>
  <si>
    <t>5. Загальний опис робіт</t>
  </si>
  <si>
    <t>№ сторінки пояснювальної записки</t>
  </si>
  <si>
    <t>Будівництво, реконструкція та модернізація електричних мереж, у т.ч:</t>
  </si>
  <si>
    <t>0,4 кВ</t>
  </si>
  <si>
    <t>1.1.4</t>
  </si>
  <si>
    <t>2.2.1</t>
  </si>
  <si>
    <t>для робочих станцій</t>
  </si>
  <si>
    <t>для серверів</t>
  </si>
  <si>
    <t xml:space="preserve">інше </t>
  </si>
  <si>
    <t>Закупівля та модернізація прикладного програмного забезпечення, у т.ч.:</t>
  </si>
  <si>
    <t>офісного</t>
  </si>
  <si>
    <t>захисту інформації</t>
  </si>
  <si>
    <t>геоінформаційних систем</t>
  </si>
  <si>
    <t>систем електронного документообігу</t>
  </si>
  <si>
    <t>систем керування взаємовідносинами зі споживачами</t>
  </si>
  <si>
    <t>інше</t>
  </si>
  <si>
    <t>Впровадження та модернізація контакт-центрів</t>
  </si>
  <si>
    <t>5.5. Впровадження та розвиток системи зв'язку</t>
  </si>
  <si>
    <t>впровадження корпоративного зв'язку ліцензіата</t>
  </si>
  <si>
    <t>цифрові автоматичні телефонні станції (АТС)</t>
  </si>
  <si>
    <t>модернізація наявних видів зв'язку (радіо, високочастотні, радіорелейні тощо)</t>
  </si>
  <si>
    <t>резервне електроживлення засобів зв'язку</t>
  </si>
  <si>
    <t>Упровадження та розвиток магістральних ліній зв'язку, у тому числі:</t>
  </si>
  <si>
    <t>Упровадження та розвиток ліній зв'язку "останньої милі", у тому числі:</t>
  </si>
  <si>
    <t>Устновлення та заміна каналоутворювального та комутаційного обладнання (зокрема АТС), у тому числі:</t>
  </si>
  <si>
    <t>Упровадження та розвиток локальних обчислювальних мереж (зокрема СКС), у тому числі</t>
  </si>
  <si>
    <t>5.6. Модернізація та закупівля колісної техніки</t>
  </si>
  <si>
    <t>5.7. Інше</t>
  </si>
  <si>
    <t>економічний ефект (окупність у роках)</t>
  </si>
  <si>
    <t>5.5.1. Етапи впровадження системи зв'язку</t>
  </si>
  <si>
    <t>1.1.2.4.3</t>
  </si>
  <si>
    <t>1.1.2.4.4</t>
  </si>
  <si>
    <t>1.1.2.4.5</t>
  </si>
  <si>
    <t>1.2.10</t>
  </si>
  <si>
    <t>Кондиціонер</t>
  </si>
  <si>
    <t>6.4</t>
  </si>
  <si>
    <t>Модернізація ПС 35/10 кВ "Софіївка" в с.Софіївка, Щорського району, Чернігівської області</t>
  </si>
  <si>
    <t>Модернізація ПС 35/10 кВ "Низьківка" в с.Низьківка, Щорського району, Чернігівської області</t>
  </si>
  <si>
    <t>Модернізація ПС 35/10 кВ "Стрільники" в с.Стрільники, Бахмацького району, Чернігівської області</t>
  </si>
  <si>
    <t>Модернізація ПС 35/10 кВ "Петрівка" в с.Петрівка, Щорського району, Чернігівської області</t>
  </si>
  <si>
    <t>1966 р.</t>
  </si>
  <si>
    <t>1984 р.</t>
  </si>
  <si>
    <t>1985 р.</t>
  </si>
  <si>
    <t>Заміна вимикачів 10 кВ</t>
  </si>
  <si>
    <t>Антивірусне ПЗ Kaspersky Endpoint Security for Business – Select, 1 year License, 950 робочих місць</t>
  </si>
  <si>
    <t>CISCO2911-V/K9/Маршрутизатор Cisco 2911 Voice Bundle PVDM3-16 UC License PAK</t>
  </si>
  <si>
    <t>Реконструкція ПЛ 0,4 кВ Л-1, Л-2 від КТП-117 в с.Знамянка, Прилуцького району, Чернігівської  області</t>
  </si>
  <si>
    <t>Реконструкція ПЛ 0,4 кВ  Л-1, Л-3 від КТП-119 с.Знамянка, Прилуцького району, Чернігівської області.</t>
  </si>
  <si>
    <t>Реконструкція ПЛ 0,4 кВ Л-1, Л-2, Л-3 від КТП-130 в с.Знамянка Прилуцького району Чернігівської  області</t>
  </si>
  <si>
    <t>Реконструкція ПЛ 0,4 кВ  Л-2 від КТП-131  в с.Знамянка Прилуцького району Чернігівської  області</t>
  </si>
  <si>
    <t>Реконструкція ПЛ 0,4 кВ Л-1, Л-3 від КТП-264 в с.Петровське Прилуцького району Чернігівської  області</t>
  </si>
  <si>
    <t>Технічне переоснащення ПС 35/10 "Б. Гать" в с. Березова Гать, Новгород-Сіверського району, Чернігівської області</t>
  </si>
  <si>
    <t>Технічне переоснащення ПС 35/10 "Димерка" в с. Димерка, Козелецького району, Чернігівської області</t>
  </si>
  <si>
    <t>Технічне переоснащення ПС 35/10 "Линовиця" в с. Линовиця, Прилуцького району, Чернігівської області</t>
  </si>
  <si>
    <t>Побудова мережі передачі даних "остання миля" в Чернігівському РЕМ</t>
  </si>
  <si>
    <t>3.1.2.2.12</t>
  </si>
  <si>
    <t>3.1.2.2.13</t>
  </si>
  <si>
    <t>3.1.2.2.14</t>
  </si>
  <si>
    <t>3.1.2.2.15</t>
  </si>
  <si>
    <t>3.1.2.2.16</t>
  </si>
  <si>
    <t>3.1.2.2.17</t>
  </si>
  <si>
    <t>3.1.2.2.18</t>
  </si>
  <si>
    <t>3.1.2.2.19</t>
  </si>
  <si>
    <t>Модуль процесора 560CMU05 R0002 1KGT012700R0002</t>
  </si>
  <si>
    <t>Стійка (корзина) 560MPR03 R0001 1KGT022100R0001</t>
  </si>
  <si>
    <t>Модуль живлення  560PSR00 R0001 1KGT026500R0001</t>
  </si>
  <si>
    <t>Шафа град ЯМ-30 1200х800х300</t>
  </si>
  <si>
    <t xml:space="preserve">Нагрівач з клемами FLH150 Pfannenberg </t>
  </si>
  <si>
    <t>Терморегулятор від -20 до +40 Pfannenberg</t>
  </si>
  <si>
    <t>Перетворювач SD-15B-24</t>
  </si>
  <si>
    <t>Акумулятор Yuasa NP7-12</t>
  </si>
  <si>
    <t>Розетка на дин-рейку с з/к АС30-5 e.socket.pro.din.tms</t>
  </si>
  <si>
    <t>Реле Relpol R4-2014-23-1024 з колодкою GZT4 та кліпсою G41052</t>
  </si>
  <si>
    <t>Провід ПВ-1 0,75</t>
  </si>
  <si>
    <t>Маршрутизатор Cisco Catalyst 3750 24 порти 10/100/1000T Enhanced Multilayer Image (WS-C3750G-24T-E)</t>
  </si>
  <si>
    <t>Коммутатор Cisco Catalyst 2960 Plus 48 10/100 + 2 T/SFP LAN Base (Cisco WS-C2960+48TC-L)</t>
  </si>
  <si>
    <t>4.1.3.3</t>
  </si>
  <si>
    <t>Маршрутизатор Mikrotik Cloud Core Router CCR1009-8G-1S-1S+</t>
  </si>
  <si>
    <t>4.1.3.4</t>
  </si>
  <si>
    <t>Маршрутизатор Mikrotik RouterBoard RB/2011UiAS-RM</t>
  </si>
  <si>
    <t>4.1.3.5</t>
  </si>
  <si>
    <t>Маршрутизатор Mikrotik RB/750r2</t>
  </si>
  <si>
    <t>Шафа  для серверів Conteq 42U, розбірна, шир.600, глиб.1000</t>
  </si>
  <si>
    <t>4.1.4.2</t>
  </si>
  <si>
    <t>Шафа для мережного обладнання Conteq Optimal Split 12U, шир.600, глиб.500</t>
  </si>
  <si>
    <t>ДБЖ APC Back-UPS Pro 900VA</t>
  </si>
  <si>
    <t>4.1.5.6</t>
  </si>
  <si>
    <t>4.1.5.7</t>
  </si>
  <si>
    <t>Принтер з запасним картриджем HP LaserJet P1102</t>
  </si>
  <si>
    <t>4.1.5.8</t>
  </si>
  <si>
    <t>Мережне сховище для резервування баз даних з HDD-накопичувачами та RAID 10</t>
  </si>
  <si>
    <t>4.2.1.2</t>
  </si>
  <si>
    <t>4.2.1.3</t>
  </si>
  <si>
    <t>Microsoft Exchange Server 2013 Standard RUS</t>
  </si>
  <si>
    <t>Microsoft Windows Sever Standard 2012R2 RUS</t>
  </si>
  <si>
    <t>4.3.2.2</t>
  </si>
  <si>
    <t>Symantec Backup Exec 2015</t>
  </si>
  <si>
    <t>АТС Siemens для РЕМ</t>
  </si>
  <si>
    <t xml:space="preserve">Аналізатор AnCom A-7/307 </t>
  </si>
  <si>
    <t>Аналізатор Vencon UBA5</t>
  </si>
  <si>
    <t>Прилад кросу портативний ПКП-60</t>
  </si>
  <si>
    <t>Вимірювач опору заземлення SEW 1820 ER</t>
  </si>
  <si>
    <t>Модернізація ПС 35/10 кВ "Лихачів" в с.Лихачів, Носівського району, Чернігівської області</t>
  </si>
  <si>
    <t>Технічне переоснащення ПС 35/10 Павлівка  в с. Півлівка, Ріпкинського району, Чернігівської області</t>
  </si>
  <si>
    <t>6. Етапи виконання заходів Інвестиційної програми ПАТ "ЧЕРНІГІВОБЛЕНЕРГО" на 2016 рік</t>
  </si>
  <si>
    <t>Автопідіймач АП-18-10 на базі ГАЗ-3309 (або аналог)</t>
  </si>
  <si>
    <t>Буро-кранова установка БКМ-2М на базі ХТЗ-150К (або аналог)</t>
  </si>
  <si>
    <t>6.5</t>
  </si>
  <si>
    <t>6.6</t>
  </si>
  <si>
    <t>6.8</t>
  </si>
  <si>
    <t>Змінний екскаваційний  гідромолот до екскаватора Борекс ЭО-2625</t>
  </si>
  <si>
    <t xml:space="preserve">Усього на 2016 -2020 рр. </t>
  </si>
  <si>
    <t xml:space="preserve">Усього на 2016 - 2020 рр. </t>
  </si>
  <si>
    <t>Усього на 2016- 2020 рр.          (без ПДВ)</t>
  </si>
  <si>
    <t>Усього на 2016 - 2020 рр.             (без ПДВ)</t>
  </si>
  <si>
    <t>Усього на 2016 - 2020 рр. (без ПДВ)</t>
  </si>
  <si>
    <t>Легковий автомобіль Hyundai Elantra 1,6л Econo,  (або аналог)</t>
  </si>
  <si>
    <t>Легковий автомобіль Chevrolet Niva 1,7 л. (80 к.с.) Euro-4,  (або аналог)</t>
  </si>
  <si>
    <t>Модернізація АСКОЕ (організація GPRS каналів зв'язку)</t>
  </si>
  <si>
    <t>2.1.2.1</t>
  </si>
  <si>
    <t>Придбання лічильників LZQJ-XC</t>
  </si>
  <si>
    <t>Придбання комплектів для винесення 1-фазних обліків на фасад будинку</t>
  </si>
  <si>
    <t xml:space="preserve">Придбання 1-фазних  однотарифних 2-елементних електронних лічильників електроенергії                     </t>
  </si>
  <si>
    <t>Придбання 3-фазних електронних лічильників електроенергії 380/220 В, 5(100) А</t>
  </si>
  <si>
    <t>Придбання 1-фазних лічильників електронних багатотарифних 2-елементних 5(60) А</t>
  </si>
  <si>
    <t>Придбання 3-фазних лічильників електронних багатотарифних  5(60) А</t>
  </si>
  <si>
    <t>Придбання пломб-індикаторів дії магнітного поля</t>
  </si>
  <si>
    <t>2.2.3</t>
  </si>
  <si>
    <t>У тому числі по видах діяльності</t>
  </si>
  <si>
    <t>передача електричної енергії</t>
  </si>
  <si>
    <t>постачання електричної енергії</t>
  </si>
  <si>
    <t>тис. грн без ПДВ</t>
  </si>
  <si>
    <t>Побудова мережі передачі даних "остання миля" в Козелецькому та Корюківському РЕМ</t>
  </si>
  <si>
    <t>Шинний модуль 560BCU04 R0003 1KGT022300R0003</t>
  </si>
  <si>
    <t>3.1.2.2.20</t>
  </si>
  <si>
    <t>Ніжинський РЕМ (щит)</t>
  </si>
  <si>
    <t>Південні ВЕМ (щит)</t>
  </si>
  <si>
    <t>23</t>
  </si>
  <si>
    <t>25</t>
  </si>
  <si>
    <t>26</t>
  </si>
  <si>
    <t>Чернігівський РЕМ (12 ПС)</t>
  </si>
  <si>
    <t>30</t>
  </si>
  <si>
    <t>31</t>
  </si>
  <si>
    <t>32</t>
  </si>
  <si>
    <t>33</t>
  </si>
  <si>
    <t>34</t>
  </si>
  <si>
    <t>35</t>
  </si>
  <si>
    <t>36</t>
  </si>
  <si>
    <t>37</t>
  </si>
  <si>
    <t>АТС Чернігів РЕМ</t>
  </si>
  <si>
    <t>6.9</t>
  </si>
  <si>
    <t>Автомобіль Mitsubishi L 200 2,5 intense MT  (або аналог)</t>
  </si>
  <si>
    <t>2.2.4</t>
  </si>
  <si>
    <t>Вантажо-пасажирський автомобіль АС U-39095-ВП 6 (або аналог)</t>
  </si>
  <si>
    <t>7422, 7423</t>
  </si>
  <si>
    <t>1972р.</t>
  </si>
  <si>
    <t>7411,  7413</t>
  </si>
  <si>
    <t>7417, 7418,51943</t>
  </si>
  <si>
    <t>7293 ,7295</t>
  </si>
  <si>
    <t>1969р.</t>
  </si>
  <si>
    <t>АТС Короп, Бобровиця РЕМ</t>
  </si>
  <si>
    <t>АТС Сосниця, Срібне, Варва, Талалаївка РЕМ</t>
  </si>
  <si>
    <t>2.15</t>
  </si>
  <si>
    <t>В.І. Ткач</t>
  </si>
  <si>
    <t>*</t>
  </si>
  <si>
    <t>Багатофункціональний пристрій з запасним картриджем HP LaserJet Pro M1536dw</t>
  </si>
  <si>
    <t>Придбання комплектів для винесення 3-фазних обліків на фасад будинку</t>
  </si>
  <si>
    <t>Наказ № 310 від 15.09.2015р.</t>
  </si>
  <si>
    <t>Блейд-сервер на шасі HP BLc7000 з 3 лезами HP BL460c Gen9 та дисковим масивом на базі HP MSA 2040 ES SAN ,  гарантія 36 місяців</t>
  </si>
  <si>
    <t>3.1.1.1.1</t>
  </si>
  <si>
    <t>3.1.1.1.2</t>
  </si>
  <si>
    <t>4.1.2.3</t>
  </si>
  <si>
    <t>4.1.2.4</t>
  </si>
  <si>
    <t>Переносне заземлення ПЗШ-750</t>
  </si>
  <si>
    <t>к-т</t>
  </si>
  <si>
    <t>1969 р.</t>
  </si>
  <si>
    <t>Амортизаційні відрахування</t>
  </si>
  <si>
    <t xml:space="preserve"> Інші доходи (реакт ел/ен)</t>
  </si>
  <si>
    <t>Інші доходи(економія ТВЕ)</t>
  </si>
  <si>
    <t>Інші доходи (економія ТВЕ)</t>
  </si>
  <si>
    <t>Флеш-карта Basic License 750 DP, CF 1KGT201440R0001</t>
  </si>
  <si>
    <t>Мікроавтобус  Ford Transit  CUSTOM Kombi,  (або аналог)</t>
  </si>
  <si>
    <t>Бензопила Husgvarna-545 або аналог</t>
  </si>
  <si>
    <t>Генератор бензиновий FG6500E або аналог</t>
  </si>
  <si>
    <t>6.2.</t>
  </si>
  <si>
    <t>6.3.</t>
  </si>
  <si>
    <t>Автомобіль легковий Renault Logan (або аналог)</t>
  </si>
  <si>
    <t>Реконструкція КЛ 10 кВ "ТЕЦ - РП-5" м.Чернігів</t>
  </si>
  <si>
    <t>Універсальний пристрій для перевірки простих захистів БТРС-200 (або аналог)</t>
  </si>
  <si>
    <t>Городнянський РЕМ (3 ПС)</t>
  </si>
  <si>
    <t>Городнянський РЕМ (1 ПС)</t>
  </si>
  <si>
    <t>Козелецький РЕМ (4 ПС)</t>
  </si>
  <si>
    <t>Козелецький РЕМ (1 ПС)</t>
  </si>
  <si>
    <t>Козелецький РЕМ (3 ПС)</t>
  </si>
  <si>
    <t>Куликівський РЕМ (1 ПС)</t>
  </si>
  <si>
    <t>Куликівський РЕМ (4 ПС)</t>
  </si>
  <si>
    <t>38</t>
  </si>
  <si>
    <t>2.17.</t>
  </si>
  <si>
    <t>2.19.</t>
  </si>
  <si>
    <t>2.20.</t>
  </si>
  <si>
    <t>Корюківський РЕМ (1ПС)</t>
  </si>
  <si>
    <t>2.21.</t>
  </si>
  <si>
    <t>2.22.</t>
  </si>
  <si>
    <t>2.23.</t>
  </si>
  <si>
    <t>2.24.</t>
  </si>
  <si>
    <t>2.25.</t>
  </si>
  <si>
    <t>2.26.</t>
  </si>
  <si>
    <t>2.27.</t>
  </si>
  <si>
    <t>2.28.</t>
  </si>
  <si>
    <t>2.29.</t>
  </si>
  <si>
    <t>2.30.</t>
  </si>
  <si>
    <t xml:space="preserve">Робоча станція ОС для користувачів </t>
  </si>
  <si>
    <t>Персональний ПК 15,6" з ОС</t>
  </si>
  <si>
    <t>Багатофункціональний пристрій А3</t>
  </si>
  <si>
    <t>Монітор 22" LED</t>
  </si>
  <si>
    <t>Багатофункціональний пристрій формату А4</t>
  </si>
  <si>
    <t>2.1.4</t>
  </si>
  <si>
    <t>2.1.4.1</t>
  </si>
  <si>
    <t>2.1.4.2</t>
  </si>
  <si>
    <t>2.1.4.3</t>
  </si>
  <si>
    <t>2.1.4.4</t>
  </si>
  <si>
    <t>2.1.4.5</t>
  </si>
  <si>
    <t>2.1.4.6</t>
  </si>
  <si>
    <t>Усього 2.1.4</t>
  </si>
  <si>
    <t>3.1.2</t>
  </si>
  <si>
    <t>3.1.2.1</t>
  </si>
  <si>
    <t>3.1.2.1.1</t>
  </si>
  <si>
    <t>3.1.2.2</t>
  </si>
  <si>
    <t>3.1.2.2.1</t>
  </si>
  <si>
    <t>3.1.2.2.2</t>
  </si>
  <si>
    <t>3.1.2.2.3</t>
  </si>
  <si>
    <t>3.1.2.2.4</t>
  </si>
  <si>
    <t>3.1.2.2.5</t>
  </si>
  <si>
    <t>3.1.2.2.6</t>
  </si>
  <si>
    <t>3.1.2.2.7</t>
  </si>
  <si>
    <t>3.1.2.2.8</t>
  </si>
  <si>
    <t>3.1.2.2.9</t>
  </si>
  <si>
    <t>4.1.5</t>
  </si>
  <si>
    <t>4.1.5.1</t>
  </si>
  <si>
    <t>4.1.5.2</t>
  </si>
  <si>
    <t>4.1.5.3</t>
  </si>
  <si>
    <t>4.3.7</t>
  </si>
  <si>
    <t>4.3.7.1</t>
  </si>
  <si>
    <t>Усього 4.3.7</t>
  </si>
  <si>
    <t>Усього 4.1.5</t>
  </si>
  <si>
    <t>Усього 3.1.2</t>
  </si>
  <si>
    <t>5.1.2</t>
  </si>
  <si>
    <t>5.1.2.1</t>
  </si>
  <si>
    <t>Усього 5.1.2</t>
  </si>
  <si>
    <t>7.2.1</t>
  </si>
  <si>
    <t>9.3.1</t>
  </si>
  <si>
    <t>9.3.2</t>
  </si>
  <si>
    <t>10.3.1</t>
  </si>
  <si>
    <t>10.3.2</t>
  </si>
  <si>
    <t>10.3.3</t>
  </si>
  <si>
    <t>10.3.4</t>
  </si>
  <si>
    <t>Амортизаційні відрахування-2543,37тис грн., Інші доходи (реакт ел/ен)-12950,15 тис.грн.</t>
  </si>
  <si>
    <t>Інші доходи(реакт ел/ен)-767,96, Інші доходи (економія ТВЕ)-413,56</t>
  </si>
  <si>
    <t>с.2, 6, 25</t>
  </si>
  <si>
    <t>с.2, 26-27</t>
  </si>
  <si>
    <t>с.2, 28-29</t>
  </si>
  <si>
    <t>с.2, 30-31</t>
  </si>
  <si>
    <t>с.2, 32-33</t>
  </si>
  <si>
    <t>с.2, 34-35</t>
  </si>
  <si>
    <t>с.3,9,42</t>
  </si>
  <si>
    <t>с.3,9,43</t>
  </si>
  <si>
    <t>с.4,23,44</t>
  </si>
  <si>
    <t>с.3,7, 36-37,46,70</t>
  </si>
  <si>
    <t>с.3,11,38-39,54,70</t>
  </si>
  <si>
    <t>с.3,19,40,62,70</t>
  </si>
  <si>
    <t>с.72-75</t>
  </si>
  <si>
    <t>с.77-79</t>
  </si>
  <si>
    <t>с.82</t>
  </si>
  <si>
    <t>с.78</t>
  </si>
  <si>
    <t>с.84</t>
  </si>
  <si>
    <t>с.85</t>
  </si>
  <si>
    <t>с.88</t>
  </si>
  <si>
    <t>с.90</t>
  </si>
  <si>
    <t>с.92</t>
  </si>
  <si>
    <t>с.97</t>
  </si>
  <si>
    <t>с.98</t>
  </si>
  <si>
    <t>с.101</t>
  </si>
  <si>
    <t>с.102</t>
  </si>
  <si>
    <t>с.83</t>
  </si>
  <si>
    <t>с.87</t>
  </si>
  <si>
    <t>с.91</t>
  </si>
  <si>
    <t>с.94</t>
  </si>
  <si>
    <t>с.108</t>
  </si>
  <si>
    <t>с.110</t>
  </si>
  <si>
    <t>с.121</t>
  </si>
  <si>
    <t>Сідельний тягач МАЗ-5440B5-8420-000 (або аналог)</t>
  </si>
  <si>
    <t>с.128</t>
  </si>
  <si>
    <t>c.86</t>
  </si>
  <si>
    <t>с.99</t>
  </si>
  <si>
    <t>с.100-104</t>
  </si>
  <si>
    <t>с.104</t>
  </si>
  <si>
    <t>с.105</t>
  </si>
  <si>
    <t>с.109</t>
  </si>
  <si>
    <t>с.112</t>
  </si>
  <si>
    <t>с. 112</t>
  </si>
  <si>
    <t>с.113</t>
  </si>
  <si>
    <t>с.123</t>
  </si>
  <si>
    <t>с.124,126</t>
  </si>
  <si>
    <t>с.128-129</t>
  </si>
  <si>
    <t>с.130</t>
  </si>
  <si>
    <t>с.131</t>
  </si>
  <si>
    <t>Комплект заземлення переносного для ПЛ 0,4 кВ ЕМСС 1106 S та ЕМТ 1101 S (або аналог)</t>
  </si>
  <si>
    <t>Придбання покажчиків струму на ПЛ типу ПСр-10 (або аналог)</t>
  </si>
  <si>
    <t>Придбання струмовимірювальних кліщів аналогових типу РК-120 (або аналог)</t>
  </si>
  <si>
    <t>Придбання Гауссметра GM1-HS (або аналог)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</si>
</sst>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#,##0.000_ ;[Red]\-#,##0.000\ "/>
    <numFmt numFmtId="182" formatCode="#,##0_ ;[Red]\-#,##0\ "/>
    <numFmt numFmtId="183" formatCode="#,##0.0_ ;[Red]\-#,##0.0\ "/>
    <numFmt numFmtId="184" formatCode="#,##0.0000_ ;[Red]\-#,##0.0000\ "/>
    <numFmt numFmtId="185" formatCode="0.000"/>
    <numFmt numFmtId="186" formatCode="0.0"/>
    <numFmt numFmtId="187" formatCode="0.0%"/>
    <numFmt numFmtId="188" formatCode="0.0000"/>
    <numFmt numFmtId="189" formatCode="0.00000"/>
    <numFmt numFmtId="190" formatCode="0.000000"/>
    <numFmt numFmtId="191" formatCode="#,##0.00_ ;[Red]\-#,##0.00\ "/>
    <numFmt numFmtId="192" formatCode="#,##0.000"/>
    <numFmt numFmtId="193" formatCode="#,##0;[Red]#,##0"/>
    <numFmt numFmtId="194" formatCode="#,##0.0000"/>
    <numFmt numFmtId="195" formatCode="#,##0.00000"/>
    <numFmt numFmtId="196" formatCode="#,##0.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FC19]d\ mmmm\ yyyy\ &quot;г.&quot;"/>
    <numFmt numFmtId="202" formatCode="0.0000000"/>
    <numFmt numFmtId="203" formatCode="0_ ;[Red]\-0\ "/>
    <numFmt numFmtId="204" formatCode="0.0000000000"/>
    <numFmt numFmtId="205" formatCode="0.00000000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i/>
      <sz val="12"/>
      <name val="Times New Roman"/>
      <family val="1"/>
    </font>
    <font>
      <sz val="10"/>
      <name val="PragmaticaCTT"/>
      <family val="0"/>
    </font>
    <font>
      <sz val="10"/>
      <name val="Helv"/>
      <family val="0"/>
    </font>
    <font>
      <b/>
      <sz val="11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1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29"/>
      <name val="Times New Roman"/>
      <family val="1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23" fillId="15" borderId="7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28" fillId="0" borderId="9" applyNumberFormat="0" applyFill="0" applyAlignment="0" applyProtection="0"/>
    <xf numFmtId="0" fontId="8" fillId="0" borderId="0">
      <alignment/>
      <protection/>
    </xf>
    <xf numFmtId="0" fontId="7" fillId="0" borderId="0">
      <alignment/>
      <protection/>
    </xf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964">
    <xf numFmtId="0" fontId="0" fillId="0" borderId="0" xfId="0" applyAlignment="1">
      <alignment/>
    </xf>
    <xf numFmtId="0" fontId="0" fillId="0" borderId="0" xfId="35" applyFont="1" applyBorder="1" applyProtection="1">
      <alignment/>
      <protection/>
    </xf>
    <xf numFmtId="0" fontId="0" fillId="0" borderId="0" xfId="35" applyFont="1" applyBorder="1" applyAlignment="1" applyProtection="1">
      <alignment vertical="top"/>
      <protection/>
    </xf>
    <xf numFmtId="0" fontId="0" fillId="0" borderId="0" xfId="35" applyFont="1" applyProtection="1">
      <alignment/>
      <protection/>
    </xf>
    <xf numFmtId="0" fontId="0" fillId="0" borderId="0" xfId="35" applyFont="1" applyAlignment="1" applyProtection="1">
      <alignment horizontal="center" vertical="center" wrapText="1"/>
      <protection locked="0"/>
    </xf>
    <xf numFmtId="0" fontId="0" fillId="0" borderId="0" xfId="35" applyFont="1" applyBorder="1" applyAlignment="1" applyProtection="1">
      <alignment horizontal="center" vertical="center" wrapText="1"/>
      <protection locked="0"/>
    </xf>
    <xf numFmtId="0" fontId="0" fillId="0" borderId="0" xfId="35" applyFont="1" applyFill="1" applyAlignment="1" applyProtection="1">
      <alignment horizontal="center" vertical="center" wrapText="1"/>
      <protection locked="0"/>
    </xf>
    <xf numFmtId="0" fontId="0" fillId="0" borderId="0" xfId="35" applyFont="1" applyAlignment="1" applyProtection="1">
      <alignment horizontal="center" vertical="center" wrapText="1"/>
      <protection/>
    </xf>
    <xf numFmtId="0" fontId="0" fillId="0" borderId="0" xfId="35" applyFont="1" applyBorder="1" applyAlignment="1" applyProtection="1">
      <alignment horizontal="center" vertical="center" wrapText="1"/>
      <protection/>
    </xf>
    <xf numFmtId="2" fontId="0" fillId="0" borderId="0" xfId="35" applyNumberFormat="1" applyFont="1" applyBorder="1" applyProtection="1">
      <alignment/>
      <protection/>
    </xf>
    <xf numFmtId="2" fontId="13" fillId="0" borderId="0" xfId="35" applyNumberFormat="1" applyFont="1" applyFill="1" applyBorder="1" applyAlignment="1" applyProtection="1">
      <alignment horizontal="center" vertical="center"/>
      <protection hidden="1"/>
    </xf>
    <xf numFmtId="185" fontId="13" fillId="0" borderId="0" xfId="35" applyNumberFormat="1" applyFont="1" applyFill="1" applyBorder="1" applyAlignment="1" applyProtection="1">
      <alignment horizontal="center" vertical="center"/>
      <protection hidden="1"/>
    </xf>
    <xf numFmtId="0" fontId="13" fillId="0" borderId="0" xfId="35" applyFont="1" applyFill="1" applyBorder="1" applyAlignment="1">
      <alignment vertical="center"/>
      <protection/>
    </xf>
    <xf numFmtId="0" fontId="13" fillId="0" borderId="0" xfId="35" applyFont="1" applyFill="1" applyBorder="1" applyAlignment="1">
      <alignment horizontal="center"/>
      <protection/>
    </xf>
    <xf numFmtId="0" fontId="13" fillId="0" borderId="0" xfId="35" applyFont="1" applyFill="1" applyBorder="1">
      <alignment/>
      <protection/>
    </xf>
    <xf numFmtId="0" fontId="13" fillId="0" borderId="0" xfId="35" applyFont="1" applyAlignment="1">
      <alignment horizontal="center" vertical="center" wrapText="1"/>
      <protection/>
    </xf>
    <xf numFmtId="0" fontId="12" fillId="0" borderId="0" xfId="35" applyFont="1" applyFill="1" applyBorder="1">
      <alignment/>
      <protection/>
    </xf>
    <xf numFmtId="0" fontId="0" fillId="0" borderId="0" xfId="35" applyFont="1" applyAlignment="1" applyProtection="1">
      <alignment vertical="center"/>
      <protection/>
    </xf>
    <xf numFmtId="0" fontId="0" fillId="0" borderId="0" xfId="35" applyFont="1" applyProtection="1">
      <alignment/>
      <protection/>
    </xf>
    <xf numFmtId="0" fontId="4" fillId="0" borderId="0" xfId="35" applyFont="1" applyProtection="1">
      <alignment/>
      <protection/>
    </xf>
    <xf numFmtId="2" fontId="0" fillId="0" borderId="0" xfId="35" applyNumberFormat="1" applyFont="1" applyProtection="1">
      <alignment/>
      <protection/>
    </xf>
    <xf numFmtId="4" fontId="0" fillId="0" borderId="0" xfId="35" applyNumberFormat="1" applyFont="1" applyProtection="1">
      <alignment/>
      <protection/>
    </xf>
    <xf numFmtId="0" fontId="8" fillId="0" borderId="0" xfId="38" applyFont="1" applyAlignment="1">
      <alignment horizontal="right"/>
      <protection/>
    </xf>
    <xf numFmtId="0" fontId="8" fillId="0" borderId="0" xfId="38" applyFont="1" applyAlignment="1">
      <alignment horizontal="center"/>
      <protection/>
    </xf>
    <xf numFmtId="0" fontId="4" fillId="0" borderId="0" xfId="38" applyFont="1" applyFill="1" applyAlignment="1">
      <alignment horizontal="center" vertical="center" wrapText="1"/>
      <protection/>
    </xf>
    <xf numFmtId="0" fontId="4" fillId="0" borderId="0" xfId="38" applyFont="1" applyFill="1">
      <alignment/>
      <protection/>
    </xf>
    <xf numFmtId="0" fontId="4" fillId="0" borderId="0" xfId="38" applyNumberFormat="1" applyFont="1" applyFill="1" applyBorder="1" applyAlignment="1" applyProtection="1">
      <alignment vertical="top"/>
      <protection/>
    </xf>
    <xf numFmtId="0" fontId="10" fillId="0" borderId="0" xfId="38" applyNumberFormat="1" applyFont="1" applyFill="1" applyBorder="1" applyAlignment="1" applyProtection="1">
      <alignment vertical="top"/>
      <protection/>
    </xf>
    <xf numFmtId="0" fontId="4" fillId="0" borderId="0" xfId="38" applyNumberFormat="1" applyFont="1" applyFill="1" applyBorder="1" applyAlignment="1" applyProtection="1">
      <alignment horizontal="center" vertical="center"/>
      <protection/>
    </xf>
    <xf numFmtId="0" fontId="10" fillId="0" borderId="0" xfId="38" applyNumberFormat="1" applyFont="1" applyFill="1" applyBorder="1" applyAlignment="1" applyProtection="1">
      <alignment horizontal="center" vertical="center"/>
      <protection/>
    </xf>
    <xf numFmtId="4" fontId="0" fillId="0" borderId="0" xfId="35" applyNumberFormat="1" applyFont="1" applyBorder="1" applyProtection="1">
      <alignment/>
      <protection/>
    </xf>
    <xf numFmtId="0" fontId="4" fillId="2" borderId="0" xfId="38" applyFont="1" applyFill="1">
      <alignment/>
      <protection/>
    </xf>
    <xf numFmtId="0" fontId="31" fillId="2" borderId="0" xfId="64" applyFont="1" applyFill="1" applyProtection="1">
      <alignment/>
      <protection/>
    </xf>
    <xf numFmtId="0" fontId="31" fillId="2" borderId="0" xfId="64" applyFont="1" applyFill="1" applyAlignment="1" applyProtection="1">
      <alignment horizontal="center"/>
      <protection/>
    </xf>
    <xf numFmtId="0" fontId="9" fillId="0" borderId="0" xfId="63" applyFont="1" applyBorder="1" applyAlignment="1" applyProtection="1">
      <alignment horizontal="left"/>
      <protection hidden="1"/>
    </xf>
    <xf numFmtId="0" fontId="11" fillId="0" borderId="0" xfId="63" applyFont="1" applyProtection="1">
      <alignment/>
      <protection hidden="1"/>
    </xf>
    <xf numFmtId="0" fontId="11" fillId="0" borderId="0" xfId="64" applyFont="1">
      <alignment/>
      <protection/>
    </xf>
    <xf numFmtId="0" fontId="7" fillId="0" borderId="0" xfId="64" applyFill="1">
      <alignment/>
      <protection/>
    </xf>
    <xf numFmtId="0" fontId="11" fillId="0" borderId="0" xfId="64" applyFont="1" applyAlignment="1">
      <alignment horizontal="center"/>
      <protection/>
    </xf>
    <xf numFmtId="0" fontId="11" fillId="0" borderId="0" xfId="63" applyFont="1" applyAlignment="1" applyProtection="1">
      <alignment horizontal="left"/>
      <protection hidden="1"/>
    </xf>
    <xf numFmtId="0" fontId="31" fillId="0" borderId="10" xfId="64" applyFont="1" applyFill="1" applyBorder="1" applyAlignment="1" applyProtection="1">
      <alignment wrapText="1"/>
      <protection/>
    </xf>
    <xf numFmtId="49" fontId="31" fillId="0" borderId="10" xfId="64" applyNumberFormat="1" applyFont="1" applyFill="1" applyBorder="1" applyAlignment="1" applyProtection="1">
      <alignment horizontal="center" vertical="center"/>
      <protection locked="0"/>
    </xf>
    <xf numFmtId="0" fontId="32" fillId="0" borderId="0" xfId="64" applyFont="1" applyAlignment="1">
      <alignment horizontal="left"/>
      <protection/>
    </xf>
    <xf numFmtId="0" fontId="33" fillId="0" borderId="0" xfId="64" applyFont="1">
      <alignment/>
      <protection/>
    </xf>
    <xf numFmtId="0" fontId="33" fillId="0" borderId="0" xfId="35" applyFont="1" applyAlignment="1" applyProtection="1">
      <alignment vertical="center"/>
      <protection/>
    </xf>
    <xf numFmtId="0" fontId="33" fillId="0" borderId="0" xfId="35" applyFont="1" applyProtection="1">
      <alignment/>
      <protection/>
    </xf>
    <xf numFmtId="4" fontId="0" fillId="0" borderId="0" xfId="35" applyNumberFormat="1" applyFont="1" applyAlignment="1" applyProtection="1">
      <alignment horizontal="center" vertical="center" wrapText="1"/>
      <protection/>
    </xf>
    <xf numFmtId="0" fontId="4" fillId="0" borderId="0" xfId="35" applyFont="1" applyFill="1" applyBorder="1" applyAlignment="1" applyProtection="1">
      <alignment vertical="center" wrapText="1"/>
      <protection/>
    </xf>
    <xf numFmtId="2" fontId="4" fillId="0" borderId="0" xfId="38" applyNumberFormat="1" applyFont="1" applyFill="1" applyAlignment="1">
      <alignment horizontal="center" vertical="center" wrapText="1"/>
      <protection/>
    </xf>
    <xf numFmtId="190" fontId="4" fillId="0" borderId="0" xfId="38" applyNumberFormat="1" applyFont="1" applyFill="1" applyAlignment="1">
      <alignment horizontal="center" vertical="center" wrapText="1"/>
      <protection/>
    </xf>
    <xf numFmtId="0" fontId="4" fillId="0" borderId="0" xfId="38" applyFont="1" applyFill="1" applyBorder="1" applyAlignment="1">
      <alignment horizontal="center" vertical="center" wrapText="1"/>
      <protection/>
    </xf>
    <xf numFmtId="4" fontId="13" fillId="0" borderId="10" xfId="0" applyNumberFormat="1" applyFont="1" applyBorder="1" applyAlignment="1">
      <alignment horizontal="center"/>
    </xf>
    <xf numFmtId="0" fontId="4" fillId="0" borderId="0" xfId="39" applyFont="1" applyFill="1" applyAlignment="1">
      <alignment horizontal="center" vertical="center" wrapText="1"/>
      <protection/>
    </xf>
    <xf numFmtId="0" fontId="13" fillId="0" borderId="0" xfId="63" applyFont="1" applyBorder="1" applyAlignment="1" applyProtection="1">
      <alignment horizontal="left"/>
      <protection hidden="1"/>
    </xf>
    <xf numFmtId="0" fontId="35" fillId="0" borderId="0" xfId="63" applyFont="1" applyBorder="1" applyAlignment="1" applyProtection="1">
      <alignment horizontal="left"/>
      <protection hidden="1"/>
    </xf>
    <xf numFmtId="0" fontId="13" fillId="0" borderId="0" xfId="64" applyFont="1">
      <alignment/>
      <protection/>
    </xf>
    <xf numFmtId="0" fontId="13" fillId="0" borderId="0" xfId="64" applyFont="1" applyAlignment="1">
      <alignment horizontal="center"/>
      <protection/>
    </xf>
    <xf numFmtId="0" fontId="35" fillId="0" borderId="0" xfId="63" applyFont="1" applyBorder="1" applyAlignment="1" applyProtection="1">
      <alignment horizontal="left" vertical="top"/>
      <protection hidden="1"/>
    </xf>
    <xf numFmtId="0" fontId="13" fillId="0" borderId="0" xfId="64" applyFont="1" applyAlignment="1">
      <alignment horizontal="left" vertical="top"/>
      <protection/>
    </xf>
    <xf numFmtId="0" fontId="13" fillId="0" borderId="0" xfId="63" applyFont="1" applyAlignment="1" applyProtection="1">
      <alignment horizontal="left" vertical="top"/>
      <protection hidden="1"/>
    </xf>
    <xf numFmtId="0" fontId="13" fillId="0" borderId="0" xfId="63" applyFont="1" applyAlignment="1" applyProtection="1">
      <alignment horizontal="left"/>
      <protection hidden="1"/>
    </xf>
    <xf numFmtId="0" fontId="35" fillId="18" borderId="10" xfId="39" applyFont="1" applyFill="1" applyBorder="1" applyAlignment="1" applyProtection="1">
      <alignment vertical="center" wrapText="1"/>
      <protection/>
    </xf>
    <xf numFmtId="0" fontId="35" fillId="19" borderId="10" xfId="39" applyFont="1" applyFill="1" applyBorder="1" applyAlignment="1">
      <alignment horizontal="left" vertical="center" wrapText="1"/>
      <protection/>
    </xf>
    <xf numFmtId="2" fontId="35" fillId="19" borderId="10" xfId="39" applyNumberFormat="1" applyFont="1" applyFill="1" applyBorder="1" applyAlignment="1">
      <alignment horizontal="right" vertical="center" wrapText="1"/>
      <protection/>
    </xf>
    <xf numFmtId="0" fontId="35" fillId="0" borderId="10" xfId="38" applyFont="1" applyFill="1" applyBorder="1" applyAlignment="1" applyProtection="1">
      <alignment horizontal="center" vertical="center" wrapText="1"/>
      <protection/>
    </xf>
    <xf numFmtId="2" fontId="13" fillId="0" borderId="10" xfId="38" applyNumberFormat="1" applyFont="1" applyFill="1" applyBorder="1" applyAlignment="1">
      <alignment horizontal="right" vertical="center" wrapText="1"/>
      <protection/>
    </xf>
    <xf numFmtId="2" fontId="37" fillId="0" borderId="10" xfId="38" applyNumberFormat="1" applyFont="1" applyFill="1" applyBorder="1" applyAlignment="1">
      <alignment horizontal="right" vertical="center"/>
      <protection/>
    </xf>
    <xf numFmtId="0" fontId="35" fillId="20" borderId="10" xfId="39" applyFont="1" applyFill="1" applyBorder="1" applyAlignment="1">
      <alignment horizontal="left" vertical="center" wrapText="1"/>
      <protection/>
    </xf>
    <xf numFmtId="2" fontId="35" fillId="20" borderId="10" xfId="39" applyNumberFormat="1" applyFont="1" applyFill="1" applyBorder="1" applyAlignment="1">
      <alignment horizontal="right" vertical="center"/>
      <protection/>
    </xf>
    <xf numFmtId="0" fontId="13" fillId="0" borderId="10" xfId="39" applyFont="1" applyFill="1" applyBorder="1" applyAlignment="1">
      <alignment horizontal="left" vertical="center" wrapText="1"/>
      <protection/>
    </xf>
    <xf numFmtId="2" fontId="13" fillId="0" borderId="10" xfId="39" applyNumberFormat="1" applyFont="1" applyFill="1" applyBorder="1" applyAlignment="1">
      <alignment horizontal="right" vertical="center"/>
      <protection/>
    </xf>
    <xf numFmtId="2" fontId="35" fillId="0" borderId="10" xfId="39" applyNumberFormat="1" applyFont="1" applyFill="1" applyBorder="1" applyAlignment="1">
      <alignment horizontal="right" vertical="center"/>
      <protection/>
    </xf>
    <xf numFmtId="0" fontId="13" fillId="0" borderId="10" xfId="0" applyFont="1" applyFill="1" applyBorder="1" applyAlignment="1">
      <alignment horizontal="left" vertical="center" wrapText="1"/>
    </xf>
    <xf numFmtId="0" fontId="35" fillId="2" borderId="10" xfId="38" applyFont="1" applyFill="1" applyBorder="1" applyAlignment="1">
      <alignment horizontal="center" vertical="center" wrapText="1"/>
      <protection/>
    </xf>
    <xf numFmtId="2" fontId="13" fillId="2" borderId="10" xfId="38" applyNumberFormat="1" applyFont="1" applyFill="1" applyBorder="1" applyAlignment="1">
      <alignment horizontal="right" vertical="center"/>
      <protection/>
    </xf>
    <xf numFmtId="2" fontId="13" fillId="0" borderId="10" xfId="39" applyNumberFormat="1" applyFont="1" applyFill="1" applyBorder="1" applyAlignment="1">
      <alignment vertical="center"/>
      <protection/>
    </xf>
    <xf numFmtId="0" fontId="35" fillId="0" borderId="10" xfId="39" applyFont="1" applyFill="1" applyBorder="1" applyAlignment="1">
      <alignment horizontal="center" vertical="center" wrapText="1"/>
      <protection/>
    </xf>
    <xf numFmtId="2" fontId="13" fillId="2" borderId="10" xfId="39" applyNumberFormat="1" applyFont="1" applyFill="1" applyBorder="1" applyAlignment="1">
      <alignment horizontal="right" vertical="center"/>
      <protection/>
    </xf>
    <xf numFmtId="2" fontId="35" fillId="20" borderId="10" xfId="38" applyNumberFormat="1" applyFont="1" applyFill="1" applyBorder="1" applyAlignment="1">
      <alignment horizontal="right" vertical="center"/>
      <protection/>
    </xf>
    <xf numFmtId="2" fontId="37" fillId="0" borderId="10" xfId="39" applyNumberFormat="1" applyFont="1" applyFill="1" applyBorder="1" applyAlignment="1">
      <alignment horizontal="right" vertical="center"/>
      <protection/>
    </xf>
    <xf numFmtId="0" fontId="35" fillId="19" borderId="10" xfId="35" applyFont="1" applyFill="1" applyBorder="1" applyAlignment="1">
      <alignment horizontal="left" vertical="center" wrapText="1"/>
      <protection/>
    </xf>
    <xf numFmtId="2" fontId="35" fillId="19" borderId="10" xfId="39" applyNumberFormat="1" applyFont="1" applyFill="1" applyBorder="1" applyAlignment="1">
      <alignment horizontal="right" vertical="center"/>
      <protection/>
    </xf>
    <xf numFmtId="2" fontId="37" fillId="19" borderId="10" xfId="39" applyNumberFormat="1" applyFont="1" applyFill="1" applyBorder="1" applyAlignment="1">
      <alignment horizontal="right" vertical="center"/>
      <protection/>
    </xf>
    <xf numFmtId="0" fontId="35" fillId="18" borderId="10" xfId="39" applyFont="1" applyFill="1" applyBorder="1" applyAlignment="1">
      <alignment horizontal="left" vertical="center" wrapText="1"/>
      <protection/>
    </xf>
    <xf numFmtId="2" fontId="35" fillId="18" borderId="10" xfId="39" applyNumberFormat="1" applyFont="1" applyFill="1" applyBorder="1" applyAlignment="1">
      <alignment horizontal="right" vertical="center"/>
      <protection/>
    </xf>
    <xf numFmtId="2" fontId="13" fillId="0" borderId="10" xfId="39" applyNumberFormat="1" applyFont="1" applyFill="1" applyBorder="1" applyAlignment="1">
      <alignment horizontal="right" vertical="center" wrapText="1"/>
      <protection/>
    </xf>
    <xf numFmtId="0" fontId="13" fillId="19" borderId="10" xfId="39" applyFont="1" applyFill="1" applyBorder="1" applyAlignment="1">
      <alignment horizontal="right" vertical="center" wrapText="1"/>
      <protection/>
    </xf>
    <xf numFmtId="0" fontId="13" fillId="0" borderId="10" xfId="35" applyFont="1" applyFill="1" applyBorder="1" applyAlignment="1">
      <alignment horizontal="left" vertical="center" wrapText="1"/>
      <protection/>
    </xf>
    <xf numFmtId="2" fontId="13" fillId="0" borderId="10" xfId="39" applyNumberFormat="1" applyFont="1" applyBorder="1" applyAlignment="1">
      <alignment horizontal="right" vertical="center" wrapText="1"/>
      <protection/>
    </xf>
    <xf numFmtId="0" fontId="13" fillId="18" borderId="10" xfId="39" applyFont="1" applyFill="1" applyBorder="1" applyAlignment="1">
      <alignment horizontal="right" vertical="center" wrapText="1"/>
      <protection/>
    </xf>
    <xf numFmtId="0" fontId="13" fillId="2" borderId="10" xfId="74" applyFont="1" applyFill="1" applyBorder="1" applyAlignment="1">
      <alignment horizontal="left" vertical="center" wrapText="1"/>
      <protection/>
    </xf>
    <xf numFmtId="2" fontId="13" fillId="0" borderId="10" xfId="74" applyNumberFormat="1" applyFont="1" applyBorder="1" applyAlignment="1">
      <alignment horizontal="right" vertical="center"/>
      <protection/>
    </xf>
    <xf numFmtId="2" fontId="13" fillId="0" borderId="10" xfId="74" applyNumberFormat="1" applyFont="1" applyFill="1" applyBorder="1" applyAlignment="1">
      <alignment horizontal="right" vertical="center"/>
      <protection/>
    </xf>
    <xf numFmtId="2" fontId="13" fillId="0" borderId="10" xfId="39" applyNumberFormat="1" applyFont="1" applyFill="1" applyBorder="1" applyAlignment="1" applyProtection="1">
      <alignment horizontal="right" vertical="center"/>
      <protection/>
    </xf>
    <xf numFmtId="0" fontId="13" fillId="2" borderId="10" xfId="39" applyFont="1" applyFill="1" applyBorder="1" applyAlignment="1">
      <alignment horizontal="left" vertical="center" wrapText="1"/>
      <protection/>
    </xf>
    <xf numFmtId="2" fontId="13" fillId="18" borderId="10" xfId="39" applyNumberFormat="1" applyFont="1" applyFill="1" applyBorder="1" applyAlignment="1">
      <alignment horizontal="right" vertical="center"/>
      <protection/>
    </xf>
    <xf numFmtId="0" fontId="13" fillId="2" borderId="10" xfId="35" applyFont="1" applyFill="1" applyBorder="1" applyAlignment="1">
      <alignment horizontal="left" vertical="center" wrapText="1"/>
      <protection/>
    </xf>
    <xf numFmtId="2" fontId="13" fillId="19" borderId="10" xfId="39" applyNumberFormat="1" applyFont="1" applyFill="1" applyBorder="1" applyAlignment="1">
      <alignment horizontal="right" vertical="center"/>
      <protection/>
    </xf>
    <xf numFmtId="0" fontId="13" fillId="0" borderId="10" xfId="35" applyFont="1" applyBorder="1" applyAlignment="1">
      <alignment horizontal="left" vertical="center" wrapText="1"/>
      <protection/>
    </xf>
    <xf numFmtId="2" fontId="13" fillId="0" borderId="10" xfId="35" applyNumberFormat="1" applyFont="1" applyFill="1" applyBorder="1" applyAlignment="1">
      <alignment horizontal="right" vertical="center"/>
      <protection/>
    </xf>
    <xf numFmtId="0" fontId="13" fillId="0" borderId="10" xfId="0" applyFont="1" applyBorder="1" applyAlignment="1">
      <alignment vertical="center" wrapText="1"/>
    </xf>
    <xf numFmtId="0" fontId="35" fillId="0" borderId="0" xfId="39" applyFont="1" applyFill="1" applyBorder="1" applyAlignment="1">
      <alignment vertical="center"/>
      <protection/>
    </xf>
    <xf numFmtId="2" fontId="35" fillId="0" borderId="0" xfId="39" applyNumberFormat="1" applyFont="1" applyFill="1" applyBorder="1" applyAlignment="1">
      <alignment horizontal="right" vertical="center"/>
      <protection/>
    </xf>
    <xf numFmtId="0" fontId="13" fillId="0" borderId="0" xfId="38" applyFont="1" applyAlignment="1">
      <alignment horizontal="center" vertical="center" wrapText="1"/>
      <protection/>
    </xf>
    <xf numFmtId="49" fontId="13" fillId="0" borderId="0" xfId="38" applyNumberFormat="1" applyFont="1" applyFill="1" applyAlignment="1">
      <alignment horizontal="left" vertical="center"/>
      <protection/>
    </xf>
    <xf numFmtId="0" fontId="13" fillId="0" borderId="0" xfId="38" applyFont="1" applyAlignment="1">
      <alignment horizontal="right" vertical="center" wrapText="1"/>
      <protection/>
    </xf>
    <xf numFmtId="2" fontId="13" fillId="0" borderId="0" xfId="38" applyNumberFormat="1" applyFont="1" applyFill="1" applyAlignment="1">
      <alignment horizontal="right" vertical="center" wrapText="1"/>
      <protection/>
    </xf>
    <xf numFmtId="49" fontId="13" fillId="0" borderId="0" xfId="38" applyNumberFormat="1" applyFont="1" applyFill="1" applyAlignment="1">
      <alignment horizontal="center" vertical="center" wrapText="1"/>
      <protection/>
    </xf>
    <xf numFmtId="2" fontId="13" fillId="0" borderId="0" xfId="38" applyNumberFormat="1" applyFont="1" applyAlignment="1">
      <alignment horizontal="right" vertical="center" wrapText="1"/>
      <protection/>
    </xf>
    <xf numFmtId="0" fontId="13" fillId="0" borderId="0" xfId="64" applyFont="1" applyFill="1">
      <alignment/>
      <protection/>
    </xf>
    <xf numFmtId="2" fontId="13" fillId="0" borderId="0" xfId="64" applyNumberFormat="1" applyFont="1">
      <alignment/>
      <protection/>
    </xf>
    <xf numFmtId="0" fontId="4" fillId="0" borderId="0" xfId="39" applyFont="1" applyFill="1" applyBorder="1" applyAlignment="1">
      <alignment horizontal="center" vertical="center" wrapText="1"/>
      <protection/>
    </xf>
    <xf numFmtId="0" fontId="35" fillId="18" borderId="10" xfId="35" applyFont="1" applyFill="1" applyBorder="1" applyAlignment="1">
      <alignment horizontal="left" vertical="center" wrapText="1"/>
      <protection/>
    </xf>
    <xf numFmtId="2" fontId="13" fillId="0" borderId="10" xfId="38" applyNumberFormat="1" applyFont="1" applyFill="1" applyBorder="1" applyAlignment="1">
      <alignment horizontal="right" vertical="center"/>
      <protection/>
    </xf>
    <xf numFmtId="2" fontId="35" fillId="0" borderId="10" xfId="38" applyNumberFormat="1" applyFont="1" applyFill="1" applyBorder="1" applyAlignment="1">
      <alignment horizontal="right" vertical="center"/>
      <protection/>
    </xf>
    <xf numFmtId="2" fontId="35" fillId="2" borderId="10" xfId="38" applyNumberFormat="1" applyFont="1" applyFill="1" applyBorder="1" applyAlignment="1">
      <alignment horizontal="right" vertical="center"/>
      <protection/>
    </xf>
    <xf numFmtId="0" fontId="13" fillId="0" borderId="10" xfId="0" applyFont="1" applyBorder="1" applyAlignment="1">
      <alignment horizontal="left" vertical="center" wrapText="1"/>
    </xf>
    <xf numFmtId="2" fontId="35" fillId="18" borderId="10" xfId="39" applyNumberFormat="1" applyFont="1" applyFill="1" applyBorder="1" applyAlignment="1">
      <alignment horizontal="right" vertical="center" wrapText="1"/>
      <protection/>
    </xf>
    <xf numFmtId="2" fontId="13" fillId="20" borderId="10" xfId="39" applyNumberFormat="1" applyFont="1" applyFill="1" applyBorder="1" applyAlignment="1" applyProtection="1">
      <alignment horizontal="right" vertical="center"/>
      <protection/>
    </xf>
    <xf numFmtId="2" fontId="13" fillId="20" borderId="10" xfId="39" applyNumberFormat="1" applyFont="1" applyFill="1" applyBorder="1" applyAlignment="1">
      <alignment horizontal="right" vertical="center"/>
      <protection/>
    </xf>
    <xf numFmtId="2" fontId="13" fillId="19" borderId="10" xfId="39" applyNumberFormat="1" applyFont="1" applyFill="1" applyBorder="1" applyAlignment="1" applyProtection="1">
      <alignment horizontal="right" vertical="center"/>
      <protection/>
    </xf>
    <xf numFmtId="2" fontId="13" fillId="2" borderId="10" xfId="35" applyNumberFormat="1" applyFont="1" applyFill="1" applyBorder="1" applyAlignment="1">
      <alignment horizontal="right" vertical="center"/>
      <protection/>
    </xf>
    <xf numFmtId="0" fontId="13" fillId="0" borderId="10" xfId="0" applyFont="1" applyBorder="1" applyAlignment="1">
      <alignment vertical="center"/>
    </xf>
    <xf numFmtId="2" fontId="13" fillId="0" borderId="10" xfId="38" applyNumberFormat="1" applyFont="1" applyFill="1" applyBorder="1" applyAlignment="1">
      <alignment horizontal="center" vertical="center" wrapText="1"/>
      <protection/>
    </xf>
    <xf numFmtId="0" fontId="10" fillId="0" borderId="0" xfId="35" applyFont="1" applyProtection="1">
      <alignment/>
      <protection/>
    </xf>
    <xf numFmtId="0" fontId="40" fillId="0" borderId="0" xfId="64" applyFont="1">
      <alignment/>
      <protection/>
    </xf>
    <xf numFmtId="0" fontId="39" fillId="0" borderId="0" xfId="63" applyFont="1" applyBorder="1" applyAlignment="1" applyProtection="1">
      <alignment horizontal="left"/>
      <protection hidden="1"/>
    </xf>
    <xf numFmtId="0" fontId="40" fillId="0" borderId="0" xfId="64" applyFont="1" applyAlignment="1">
      <alignment horizontal="center"/>
      <protection/>
    </xf>
    <xf numFmtId="0" fontId="41" fillId="0" borderId="0" xfId="64" applyFont="1" applyAlignment="1">
      <alignment horizontal="center"/>
      <protection/>
    </xf>
    <xf numFmtId="0" fontId="40" fillId="0" borderId="0" xfId="63" applyFont="1" applyProtection="1">
      <alignment/>
      <protection hidden="1"/>
    </xf>
    <xf numFmtId="0" fontId="40" fillId="0" borderId="0" xfId="63" applyFont="1" applyAlignment="1" applyProtection="1">
      <alignment horizontal="left"/>
      <protection hidden="1"/>
    </xf>
    <xf numFmtId="0" fontId="40" fillId="0" borderId="0" xfId="63" applyFont="1" applyAlignment="1" applyProtection="1">
      <alignment horizontal="left" indent="3"/>
      <protection hidden="1"/>
    </xf>
    <xf numFmtId="0" fontId="40" fillId="0" borderId="10" xfId="35" applyFont="1" applyBorder="1" applyAlignment="1" applyProtection="1">
      <alignment horizontal="center" vertical="center" wrapText="1"/>
      <protection/>
    </xf>
    <xf numFmtId="4" fontId="40" fillId="0" borderId="10" xfId="35" applyNumberFormat="1" applyFont="1" applyFill="1" applyBorder="1" applyAlignment="1" applyProtection="1">
      <alignment horizontal="center" vertical="center" wrapText="1"/>
      <protection locked="0"/>
    </xf>
    <xf numFmtId="4" fontId="40" fillId="0" borderId="10" xfId="35" applyNumberFormat="1" applyFont="1" applyBorder="1" applyAlignment="1" applyProtection="1">
      <alignment horizontal="center" vertical="center" wrapText="1"/>
      <protection/>
    </xf>
    <xf numFmtId="0" fontId="13" fillId="0" borderId="0" xfId="63" applyFont="1" applyProtection="1">
      <alignment/>
      <protection hidden="1"/>
    </xf>
    <xf numFmtId="0" fontId="40" fillId="0" borderId="10" xfId="39" applyFont="1" applyFill="1" applyBorder="1" applyAlignment="1">
      <alignment horizontal="left" vertical="center" wrapText="1"/>
      <protection/>
    </xf>
    <xf numFmtId="0" fontId="40" fillId="0" borderId="10" xfId="35" applyFont="1" applyBorder="1" applyAlignment="1" applyProtection="1">
      <alignment horizontal="center" vertical="center"/>
      <protection/>
    </xf>
    <xf numFmtId="4" fontId="40" fillId="2" borderId="10" xfId="35" applyNumberFormat="1" applyFont="1" applyFill="1" applyBorder="1" applyAlignment="1" applyProtection="1">
      <alignment horizontal="center" vertical="center" wrapText="1"/>
      <protection/>
    </xf>
    <xf numFmtId="0" fontId="40" fillId="0" borderId="10" xfId="35" applyFont="1" applyFill="1" applyBorder="1" applyAlignment="1" applyProtection="1">
      <alignment horizontal="center" vertical="center" wrapText="1"/>
      <protection locked="0"/>
    </xf>
    <xf numFmtId="0" fontId="40" fillId="0" borderId="10" xfId="35" applyFont="1" applyFill="1" applyBorder="1" applyAlignment="1" applyProtection="1">
      <alignment horizontal="center" vertical="center"/>
      <protection locked="0"/>
    </xf>
    <xf numFmtId="0" fontId="40" fillId="0" borderId="10" xfId="35" applyFont="1" applyFill="1" applyBorder="1" applyAlignment="1" applyProtection="1">
      <alignment horizontal="center" vertical="center" wrapText="1"/>
      <protection/>
    </xf>
    <xf numFmtId="0" fontId="40" fillId="0" borderId="10" xfId="35" applyNumberFormat="1" applyFont="1" applyFill="1" applyBorder="1" applyAlignment="1" applyProtection="1">
      <alignment horizontal="center" vertical="center" wrapText="1"/>
      <protection/>
    </xf>
    <xf numFmtId="4" fontId="40" fillId="0" borderId="10" xfId="35" applyNumberFormat="1" applyFont="1" applyFill="1" applyBorder="1" applyAlignment="1" applyProtection="1">
      <alignment horizontal="center" vertical="center" wrapText="1"/>
      <protection/>
    </xf>
    <xf numFmtId="10" fontId="40" fillId="0" borderId="10" xfId="35" applyNumberFormat="1" applyFont="1" applyFill="1" applyBorder="1" applyAlignment="1" applyProtection="1">
      <alignment horizontal="center" vertical="center" wrapText="1"/>
      <protection/>
    </xf>
    <xf numFmtId="0" fontId="10" fillId="0" borderId="0" xfId="35" applyFont="1" applyBorder="1" applyProtection="1">
      <alignment/>
      <protection/>
    </xf>
    <xf numFmtId="10" fontId="10" fillId="0" borderId="0" xfId="35" applyNumberFormat="1" applyFont="1" applyBorder="1" applyProtection="1">
      <alignment/>
      <protection/>
    </xf>
    <xf numFmtId="0" fontId="10" fillId="0" borderId="0" xfId="35" applyFont="1" applyAlignment="1">
      <alignment horizontal="center" vertical="center" wrapText="1"/>
      <protection/>
    </xf>
    <xf numFmtId="10" fontId="10" fillId="0" borderId="0" xfId="35" applyNumberFormat="1" applyFont="1" applyAlignment="1">
      <alignment horizontal="center" vertical="center" wrapText="1"/>
      <protection/>
    </xf>
    <xf numFmtId="4" fontId="10" fillId="0" borderId="0" xfId="35" applyNumberFormat="1" applyFont="1" applyAlignment="1">
      <alignment horizontal="center" vertical="center" wrapText="1"/>
      <protection/>
    </xf>
    <xf numFmtId="193" fontId="13" fillId="0" borderId="0" xfId="35" applyNumberFormat="1" applyFont="1" applyFill="1" applyBorder="1" applyAlignment="1" applyProtection="1">
      <alignment horizontal="center" vertical="center"/>
      <protection hidden="1"/>
    </xf>
    <xf numFmtId="4" fontId="40" fillId="0" borderId="0" xfId="64" applyNumberFormat="1" applyFont="1" applyAlignment="1">
      <alignment horizontal="center"/>
      <protection/>
    </xf>
    <xf numFmtId="185" fontId="40" fillId="0" borderId="0" xfId="35" applyNumberFormat="1" applyFont="1" applyFill="1" applyBorder="1" applyAlignment="1">
      <alignment horizontal="center" vertical="center"/>
      <protection/>
    </xf>
    <xf numFmtId="2" fontId="10" fillId="0" borderId="0" xfId="35" applyNumberFormat="1" applyFont="1" applyFill="1" applyBorder="1" applyAlignment="1">
      <alignment horizontal="center" vertical="center"/>
      <protection/>
    </xf>
    <xf numFmtId="185" fontId="13" fillId="0" borderId="0" xfId="35" applyNumberFormat="1" applyFont="1" applyFill="1" applyBorder="1" applyAlignment="1">
      <alignment horizontal="center" vertical="center"/>
      <protection/>
    </xf>
    <xf numFmtId="0" fontId="40" fillId="0" borderId="0" xfId="35" applyFont="1" applyAlignment="1">
      <alignment horizontal="center" vertical="center" wrapText="1"/>
      <protection/>
    </xf>
    <xf numFmtId="0" fontId="10" fillId="0" borderId="0" xfId="35" applyFont="1" applyAlignment="1" applyProtection="1">
      <alignment vertical="center"/>
      <protection/>
    </xf>
    <xf numFmtId="4" fontId="40" fillId="0" borderId="0" xfId="35" applyNumberFormat="1" applyFont="1" applyAlignment="1" applyProtection="1">
      <alignment vertical="center"/>
      <protection/>
    </xf>
    <xf numFmtId="0" fontId="40" fillId="0" borderId="0" xfId="35" applyFont="1" applyAlignment="1" applyProtection="1">
      <alignment vertical="center"/>
      <protection/>
    </xf>
    <xf numFmtId="4" fontId="40" fillId="0" borderId="0" xfId="64" applyNumberFormat="1" applyFont="1">
      <alignment/>
      <protection/>
    </xf>
    <xf numFmtId="9" fontId="40" fillId="0" borderId="10" xfId="35" applyNumberFormat="1" applyFont="1" applyFill="1" applyBorder="1" applyAlignment="1" applyProtection="1">
      <alignment horizontal="center" vertical="center" wrapText="1"/>
      <protection/>
    </xf>
    <xf numFmtId="4" fontId="40" fillId="8" borderId="10" xfId="35" applyNumberFormat="1" applyFont="1" applyFill="1" applyBorder="1" applyAlignment="1" applyProtection="1">
      <alignment horizontal="center" vertical="center" wrapText="1"/>
      <protection/>
    </xf>
    <xf numFmtId="180" fontId="40" fillId="0" borderId="10" xfId="35" applyNumberFormat="1" applyFont="1" applyFill="1" applyBorder="1" applyAlignment="1" applyProtection="1">
      <alignment horizontal="center" vertical="center" wrapText="1"/>
      <protection/>
    </xf>
    <xf numFmtId="49" fontId="40" fillId="0" borderId="10" xfId="35" applyNumberFormat="1" applyFont="1" applyFill="1" applyBorder="1" applyAlignment="1" applyProtection="1">
      <alignment horizontal="center" vertical="center" wrapText="1"/>
      <protection/>
    </xf>
    <xf numFmtId="2" fontId="40" fillId="8" borderId="10" xfId="35" applyNumberFormat="1" applyFont="1" applyFill="1" applyBorder="1" applyAlignment="1" applyProtection="1">
      <alignment horizontal="center" vertical="center" wrapText="1"/>
      <protection locked="0"/>
    </xf>
    <xf numFmtId="49" fontId="40" fillId="0" borderId="10" xfId="35" applyNumberFormat="1" applyFont="1" applyBorder="1" applyAlignment="1" applyProtection="1">
      <alignment horizontal="center" vertical="center" wrapText="1"/>
      <protection/>
    </xf>
    <xf numFmtId="4" fontId="40" fillId="8" borderId="10" xfId="35" applyNumberFormat="1" applyFont="1" applyFill="1" applyBorder="1" applyAlignment="1" applyProtection="1">
      <alignment horizontal="center" vertical="center" wrapText="1"/>
      <protection locked="0"/>
    </xf>
    <xf numFmtId="180" fontId="40" fillId="8" borderId="10" xfId="35" applyNumberFormat="1" applyFont="1" applyFill="1" applyBorder="1" applyAlignment="1" applyProtection="1">
      <alignment horizontal="center" vertical="center" wrapText="1"/>
      <protection locked="0"/>
    </xf>
    <xf numFmtId="192" fontId="40" fillId="8" borderId="10" xfId="35" applyNumberFormat="1" applyFont="1" applyFill="1" applyBorder="1" applyAlignment="1" applyProtection="1">
      <alignment horizontal="center" vertical="center" wrapText="1"/>
      <protection locked="0"/>
    </xf>
    <xf numFmtId="0" fontId="40" fillId="0" borderId="10" xfId="35" applyFont="1" applyFill="1" applyBorder="1" applyAlignment="1" applyProtection="1">
      <alignment vertical="center" wrapText="1"/>
      <protection/>
    </xf>
    <xf numFmtId="0" fontId="31" fillId="2" borderId="10" xfId="64" applyFont="1" applyFill="1" applyBorder="1" applyAlignment="1" applyProtection="1">
      <alignment horizontal="center" vertical="center" wrapText="1"/>
      <protection/>
    </xf>
    <xf numFmtId="0" fontId="31" fillId="2" borderId="10" xfId="64" applyFont="1" applyFill="1" applyBorder="1" applyAlignment="1" applyProtection="1">
      <alignment horizontal="center" vertical="center" wrapText="1"/>
      <protection locked="0"/>
    </xf>
    <xf numFmtId="0" fontId="31" fillId="2" borderId="10" xfId="64" applyFont="1" applyFill="1" applyBorder="1" applyAlignment="1" applyProtection="1">
      <alignment horizontal="center" vertical="center"/>
      <protection/>
    </xf>
    <xf numFmtId="0" fontId="31" fillId="2" borderId="10" xfId="64" applyFont="1" applyFill="1" applyBorder="1" applyAlignment="1" applyProtection="1">
      <alignment horizontal="center"/>
      <protection/>
    </xf>
    <xf numFmtId="49" fontId="31" fillId="2" borderId="10" xfId="64" applyNumberFormat="1" applyFont="1" applyFill="1" applyBorder="1" applyAlignment="1" applyProtection="1">
      <alignment horizontal="right" vertical="center" wrapText="1"/>
      <protection/>
    </xf>
    <xf numFmtId="2" fontId="31" fillId="2" borderId="10" xfId="64" applyNumberFormat="1" applyFont="1" applyFill="1" applyBorder="1" applyAlignment="1" applyProtection="1">
      <alignment horizontal="center" vertical="center" wrapText="1"/>
      <protection/>
    </xf>
    <xf numFmtId="0" fontId="44" fillId="2" borderId="10" xfId="64" applyFont="1" applyFill="1" applyBorder="1" applyAlignment="1" applyProtection="1">
      <alignment wrapText="1"/>
      <protection/>
    </xf>
    <xf numFmtId="0" fontId="44" fillId="2" borderId="10" xfId="64" applyFont="1" applyFill="1" applyBorder="1" applyAlignment="1" applyProtection="1">
      <alignment horizontal="center" vertical="center" wrapText="1"/>
      <protection/>
    </xf>
    <xf numFmtId="4" fontId="31" fillId="2" borderId="10" xfId="64" applyNumberFormat="1" applyFont="1" applyFill="1" applyBorder="1" applyAlignment="1" applyProtection="1">
      <alignment horizontal="center" vertical="center"/>
      <protection/>
    </xf>
    <xf numFmtId="4" fontId="44" fillId="2" borderId="10" xfId="64" applyNumberFormat="1" applyFont="1" applyFill="1" applyBorder="1" applyAlignment="1" applyProtection="1">
      <alignment horizontal="center" vertical="center"/>
      <protection/>
    </xf>
    <xf numFmtId="49" fontId="31" fillId="2" borderId="10" xfId="64" applyNumberFormat="1" applyFont="1" applyFill="1" applyBorder="1" applyAlignment="1" applyProtection="1">
      <alignment horizontal="center" vertical="center"/>
      <protection/>
    </xf>
    <xf numFmtId="0" fontId="31" fillId="2" borderId="10" xfId="64" applyFont="1" applyFill="1" applyBorder="1" applyProtection="1">
      <alignment/>
      <protection/>
    </xf>
    <xf numFmtId="0" fontId="31" fillId="2" borderId="10" xfId="64" applyFont="1" applyFill="1" applyBorder="1" applyAlignment="1" applyProtection="1">
      <alignment wrapText="1"/>
      <protection/>
    </xf>
    <xf numFmtId="4" fontId="31" fillId="2" borderId="10" xfId="64" applyNumberFormat="1" applyFont="1" applyFill="1" applyBorder="1" applyAlignment="1" applyProtection="1">
      <alignment horizontal="center" vertical="center"/>
      <protection locked="0"/>
    </xf>
    <xf numFmtId="49" fontId="31" fillId="2" borderId="10" xfId="64" applyNumberFormat="1" applyFont="1" applyFill="1" applyBorder="1" applyAlignment="1" applyProtection="1">
      <alignment horizontal="center" vertical="center"/>
      <protection locked="0"/>
    </xf>
    <xf numFmtId="0" fontId="40" fillId="0" borderId="10" xfId="38" applyFont="1" applyFill="1" applyBorder="1" applyAlignment="1" applyProtection="1">
      <alignment horizontal="left" vertical="center" wrapText="1"/>
      <protection/>
    </xf>
    <xf numFmtId="0" fontId="40" fillId="0" borderId="10" xfId="0" applyFont="1" applyBorder="1" applyAlignment="1">
      <alignment horizontal="left" vertical="center" wrapText="1"/>
    </xf>
    <xf numFmtId="4" fontId="31" fillId="2" borderId="10" xfId="64" applyNumberFormat="1" applyFont="1" applyFill="1" applyBorder="1" applyAlignment="1" applyProtection="1">
      <alignment horizontal="center" vertical="center" wrapText="1"/>
      <protection locked="0"/>
    </xf>
    <xf numFmtId="192" fontId="31" fillId="2" borderId="10" xfId="64" applyNumberFormat="1" applyFont="1" applyFill="1" applyBorder="1" applyAlignment="1" applyProtection="1">
      <alignment horizontal="center" vertical="center"/>
      <protection locked="0"/>
    </xf>
    <xf numFmtId="0" fontId="40" fillId="2" borderId="10" xfId="64" applyFont="1" applyFill="1" applyBorder="1" applyAlignment="1" applyProtection="1">
      <alignment wrapText="1"/>
      <protection/>
    </xf>
    <xf numFmtId="0" fontId="40" fillId="0" borderId="10" xfId="0" applyFont="1" applyFill="1" applyBorder="1" applyAlignment="1">
      <alignment horizontal="left" vertical="center" wrapText="1"/>
    </xf>
    <xf numFmtId="0" fontId="40" fillId="2" borderId="10" xfId="39" applyFont="1" applyFill="1" applyBorder="1" applyAlignment="1">
      <alignment horizontal="left" vertical="center" wrapText="1"/>
      <protection/>
    </xf>
    <xf numFmtId="0" fontId="40" fillId="2" borderId="10" xfId="38" applyFont="1" applyFill="1" applyBorder="1" applyAlignment="1">
      <alignment horizontal="left" vertical="center" wrapText="1"/>
      <protection/>
    </xf>
    <xf numFmtId="2" fontId="31" fillId="0" borderId="10" xfId="64" applyNumberFormat="1" applyFont="1" applyFill="1" applyBorder="1" applyAlignment="1" applyProtection="1">
      <alignment horizontal="center" vertical="center" wrapText="1"/>
      <protection/>
    </xf>
    <xf numFmtId="0" fontId="31" fillId="0" borderId="10" xfId="0" applyFont="1" applyBorder="1" applyAlignment="1">
      <alignment horizontal="left" vertical="center" wrapText="1"/>
    </xf>
    <xf numFmtId="0" fontId="31" fillId="2" borderId="10" xfId="35" applyFont="1" applyFill="1" applyBorder="1" applyAlignment="1">
      <alignment horizontal="left" vertical="center" wrapText="1"/>
      <protection/>
    </xf>
    <xf numFmtId="49" fontId="31" fillId="2" borderId="10" xfId="64" applyNumberFormat="1" applyFont="1" applyFill="1" applyBorder="1" applyAlignment="1" applyProtection="1">
      <alignment horizontal="center" vertical="center" wrapText="1"/>
      <protection locked="0"/>
    </xf>
    <xf numFmtId="0" fontId="31" fillId="2" borderId="10" xfId="64" applyFont="1" applyFill="1" applyBorder="1" applyAlignment="1" applyProtection="1">
      <alignment horizontal="right" vertical="center" wrapText="1"/>
      <protection/>
    </xf>
    <xf numFmtId="0" fontId="44" fillId="2" borderId="10" xfId="64" applyFont="1" applyFill="1" applyBorder="1" applyAlignment="1" applyProtection="1">
      <alignment horizontal="left" vertical="center" wrapText="1"/>
      <protection/>
    </xf>
    <xf numFmtId="3" fontId="31" fillId="2" borderId="10" xfId="64" applyNumberFormat="1" applyFont="1" applyFill="1" applyBorder="1" applyAlignment="1" applyProtection="1">
      <alignment horizontal="center" vertical="center"/>
      <protection/>
    </xf>
    <xf numFmtId="49" fontId="31" fillId="0" borderId="10" xfId="64" applyNumberFormat="1" applyFont="1" applyFill="1" applyBorder="1" applyAlignment="1" applyProtection="1">
      <alignment horizontal="center" vertical="center"/>
      <protection/>
    </xf>
    <xf numFmtId="4" fontId="31" fillId="0" borderId="10" xfId="64" applyNumberFormat="1" applyFont="1" applyFill="1" applyBorder="1" applyAlignment="1" applyProtection="1">
      <alignment horizontal="center" vertical="center"/>
      <protection locked="0"/>
    </xf>
    <xf numFmtId="0" fontId="40" fillId="0" borderId="10" xfId="0" applyFont="1" applyBorder="1" applyAlignment="1">
      <alignment wrapText="1"/>
    </xf>
    <xf numFmtId="49" fontId="43" fillId="0" borderId="10" xfId="64" applyNumberFormat="1" applyFont="1" applyBorder="1" applyAlignment="1" applyProtection="1">
      <alignment horizontal="center" vertical="center"/>
      <protection/>
    </xf>
    <xf numFmtId="49" fontId="31" fillId="2" borderId="10" xfId="64" applyNumberFormat="1" applyFont="1" applyFill="1" applyBorder="1" applyProtection="1">
      <alignment/>
      <protection/>
    </xf>
    <xf numFmtId="49" fontId="31" fillId="0" borderId="10" xfId="64" applyNumberFormat="1" applyFont="1" applyFill="1" applyBorder="1" applyAlignment="1" applyProtection="1">
      <alignment horizontal="right" vertical="center" wrapText="1"/>
      <protection/>
    </xf>
    <xf numFmtId="0" fontId="13" fillId="0" borderId="10" xfId="65" applyFont="1" applyBorder="1" applyAlignment="1">
      <alignment horizontal="center"/>
      <protection/>
    </xf>
    <xf numFmtId="0" fontId="43" fillId="2" borderId="0" xfId="64" applyFont="1" applyFill="1" applyAlignment="1" applyProtection="1">
      <alignment horizontal="left"/>
      <protection/>
    </xf>
    <xf numFmtId="187" fontId="40" fillId="0" borderId="10" xfId="35" applyNumberFormat="1" applyFont="1" applyFill="1" applyBorder="1" applyAlignment="1" applyProtection="1">
      <alignment horizontal="center" vertical="center" wrapText="1"/>
      <protection/>
    </xf>
    <xf numFmtId="10" fontId="40" fillId="0" borderId="10" xfId="35" applyNumberFormat="1" applyFont="1" applyFill="1" applyBorder="1" applyAlignment="1" applyProtection="1">
      <alignment horizontal="center" vertical="center" wrapText="1"/>
      <protection locked="0"/>
    </xf>
    <xf numFmtId="10" fontId="40" fillId="0" borderId="10" xfId="35" applyNumberFormat="1" applyFont="1" applyBorder="1" applyAlignment="1" applyProtection="1">
      <alignment horizontal="center" vertical="center" wrapText="1"/>
      <protection/>
    </xf>
    <xf numFmtId="2" fontId="13" fillId="0" borderId="10" xfId="38" applyNumberFormat="1" applyFont="1" applyFill="1" applyBorder="1" applyAlignment="1">
      <alignment vertical="center" wrapText="1"/>
      <protection/>
    </xf>
    <xf numFmtId="0" fontId="35" fillId="0" borderId="10" xfId="0" applyFont="1" applyFill="1" applyBorder="1" applyAlignment="1">
      <alignment horizontal="left" vertical="center" wrapText="1"/>
    </xf>
    <xf numFmtId="0" fontId="13" fillId="0" borderId="10" xfId="39" applyFont="1" applyFill="1" applyBorder="1" applyAlignment="1">
      <alignment vertical="center" wrapText="1"/>
      <protection/>
    </xf>
    <xf numFmtId="4" fontId="42" fillId="2" borderId="10" xfId="64" applyNumberFormat="1" applyFont="1" applyFill="1" applyBorder="1" applyAlignment="1" applyProtection="1">
      <alignment horizontal="center" vertical="center"/>
      <protection locked="0"/>
    </xf>
    <xf numFmtId="49" fontId="42" fillId="2" borderId="10" xfId="64" applyNumberFormat="1" applyFont="1" applyFill="1" applyBorder="1" applyAlignment="1" applyProtection="1">
      <alignment horizontal="right" vertical="center" wrapText="1"/>
      <protection/>
    </xf>
    <xf numFmtId="0" fontId="42" fillId="2" borderId="10" xfId="64" applyFont="1" applyFill="1" applyBorder="1" applyProtection="1">
      <alignment/>
      <protection/>
    </xf>
    <xf numFmtId="0" fontId="42" fillId="2" borderId="0" xfId="64" applyFont="1" applyFill="1" applyProtection="1">
      <alignment/>
      <protection/>
    </xf>
    <xf numFmtId="1" fontId="42" fillId="2" borderId="10" xfId="64" applyNumberFormat="1" applyFont="1" applyFill="1" applyBorder="1" applyAlignment="1" applyProtection="1">
      <alignment horizontal="center" vertical="center" wrapText="1"/>
      <protection/>
    </xf>
    <xf numFmtId="49" fontId="13" fillId="0" borderId="0" xfId="38" applyNumberFormat="1" applyFont="1" applyFill="1" applyBorder="1" applyAlignment="1">
      <alignment horizontal="left" vertical="center"/>
      <protection/>
    </xf>
    <xf numFmtId="0" fontId="13" fillId="0" borderId="11" xfId="39" applyFont="1" applyFill="1" applyBorder="1" applyAlignment="1">
      <alignment horizontal="left" vertical="center" wrapText="1"/>
      <protection/>
    </xf>
    <xf numFmtId="49" fontId="13" fillId="0" borderId="12" xfId="39" applyNumberFormat="1" applyFont="1" applyFill="1" applyBorder="1" applyAlignment="1">
      <alignment horizontal="left" vertical="center" wrapText="1"/>
      <protection/>
    </xf>
    <xf numFmtId="2" fontId="13" fillId="0" borderId="13" xfId="39" applyNumberFormat="1" applyFont="1" applyBorder="1" applyAlignment="1">
      <alignment horizontal="right" vertical="center" wrapText="1"/>
      <protection/>
    </xf>
    <xf numFmtId="49" fontId="13" fillId="0" borderId="12" xfId="39" applyNumberFormat="1" applyFont="1" applyFill="1" applyBorder="1" applyAlignment="1">
      <alignment horizontal="center" vertical="center" wrapText="1"/>
      <protection/>
    </xf>
    <xf numFmtId="2" fontId="13" fillId="0" borderId="13" xfId="39" applyNumberFormat="1" applyFont="1" applyFill="1" applyBorder="1" applyAlignment="1">
      <alignment horizontal="right" vertical="center" wrapText="1"/>
      <protection/>
    </xf>
    <xf numFmtId="2" fontId="35" fillId="20" borderId="13" xfId="39" applyNumberFormat="1" applyFont="1" applyFill="1" applyBorder="1" applyAlignment="1">
      <alignment horizontal="right" vertical="center" wrapText="1"/>
      <protection/>
    </xf>
    <xf numFmtId="2" fontId="13" fillId="18" borderId="13" xfId="39" applyNumberFormat="1" applyFont="1" applyFill="1" applyBorder="1" applyAlignment="1">
      <alignment horizontal="right" vertical="center" wrapText="1"/>
      <protection/>
    </xf>
    <xf numFmtId="0" fontId="35" fillId="18" borderId="11" xfId="39" applyFont="1" applyFill="1" applyBorder="1" applyAlignment="1">
      <alignment horizontal="left" vertical="center" wrapText="1"/>
      <protection/>
    </xf>
    <xf numFmtId="0" fontId="13" fillId="0" borderId="14" xfId="39" applyFont="1" applyFill="1" applyBorder="1" applyAlignment="1">
      <alignment horizontal="center" vertical="center" wrapText="1"/>
      <protection/>
    </xf>
    <xf numFmtId="2" fontId="35" fillId="20" borderId="10" xfId="39" applyNumberFormat="1" applyFont="1" applyFill="1" applyBorder="1" applyAlignment="1">
      <alignment horizontal="right" vertical="center" wrapText="1"/>
      <protection/>
    </xf>
    <xf numFmtId="2" fontId="13" fillId="18" borderId="10" xfId="39" applyNumberFormat="1" applyFont="1" applyFill="1" applyBorder="1" applyAlignment="1">
      <alignment horizontal="right" vertical="center" wrapText="1"/>
      <protection/>
    </xf>
    <xf numFmtId="49" fontId="35" fillId="0" borderId="12" xfId="39" applyNumberFormat="1" applyFont="1" applyFill="1" applyBorder="1" applyAlignment="1" applyProtection="1">
      <alignment horizontal="left" vertical="center" wrapText="1"/>
      <protection/>
    </xf>
    <xf numFmtId="49" fontId="35" fillId="0" borderId="12" xfId="39" applyNumberFormat="1" applyFont="1" applyFill="1" applyBorder="1" applyAlignment="1">
      <alignment horizontal="left" vertical="center" wrapText="1"/>
      <protection/>
    </xf>
    <xf numFmtId="49" fontId="35" fillId="0" borderId="12" xfId="38" applyNumberFormat="1" applyFont="1" applyFill="1" applyBorder="1" applyAlignment="1" applyProtection="1">
      <alignment horizontal="left" vertical="center" wrapText="1"/>
      <protection/>
    </xf>
    <xf numFmtId="49" fontId="13" fillId="0" borderId="12" xfId="39" applyNumberFormat="1" applyFont="1" applyFill="1" applyBorder="1" applyAlignment="1">
      <alignment horizontal="left" vertical="center"/>
      <protection/>
    </xf>
    <xf numFmtId="0" fontId="13" fillId="0" borderId="13" xfId="39" applyFont="1" applyFill="1" applyBorder="1" applyAlignment="1">
      <alignment vertical="center" wrapText="1"/>
      <protection/>
    </xf>
    <xf numFmtId="49" fontId="13" fillId="0" borderId="12" xfId="38" applyNumberFormat="1" applyFont="1" applyFill="1" applyBorder="1" applyAlignment="1">
      <alignment horizontal="center"/>
      <protection/>
    </xf>
    <xf numFmtId="49" fontId="35" fillId="2" borderId="12" xfId="38" applyNumberFormat="1" applyFont="1" applyFill="1" applyBorder="1" applyAlignment="1">
      <alignment horizontal="left" vertical="center"/>
      <protection/>
    </xf>
    <xf numFmtId="49" fontId="13" fillId="0" borderId="12" xfId="39" applyNumberFormat="1" applyFont="1" applyFill="1" applyBorder="1" applyAlignment="1">
      <alignment vertical="center"/>
      <protection/>
    </xf>
    <xf numFmtId="49" fontId="37" fillId="0" borderId="12" xfId="39" applyNumberFormat="1" applyFont="1" applyFill="1" applyBorder="1" applyAlignment="1">
      <alignment horizontal="center"/>
      <protection/>
    </xf>
    <xf numFmtId="49" fontId="13" fillId="0" borderId="12" xfId="39" applyNumberFormat="1" applyFont="1" applyFill="1" applyBorder="1" applyAlignment="1" applyProtection="1">
      <alignment horizontal="left" vertical="center" wrapText="1"/>
      <protection/>
    </xf>
    <xf numFmtId="49" fontId="13" fillId="0" borderId="12" xfId="39" applyNumberFormat="1" applyFont="1" applyFill="1" applyBorder="1" applyAlignment="1" applyProtection="1">
      <alignment horizontal="center" vertical="center" wrapText="1"/>
      <protection/>
    </xf>
    <xf numFmtId="49" fontId="37" fillId="0" borderId="12" xfId="38" applyNumberFormat="1" applyFont="1" applyFill="1" applyBorder="1" applyAlignment="1">
      <alignment horizontal="center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/>
    </xf>
    <xf numFmtId="49" fontId="13" fillId="0" borderId="12" xfId="39" applyNumberFormat="1" applyFont="1" applyFill="1" applyBorder="1" applyAlignment="1">
      <alignment horizontal="center"/>
      <protection/>
    </xf>
    <xf numFmtId="49" fontId="35" fillId="20" borderId="12" xfId="39" applyNumberFormat="1" applyFont="1" applyFill="1" applyBorder="1" applyAlignment="1">
      <alignment horizontal="left" vertical="center" wrapText="1"/>
      <protection/>
    </xf>
    <xf numFmtId="49" fontId="35" fillId="0" borderId="12" xfId="35" applyNumberFormat="1" applyFont="1" applyFill="1" applyBorder="1" applyAlignment="1">
      <alignment horizontal="left" vertical="center" wrapText="1"/>
      <protection/>
    </xf>
    <xf numFmtId="49" fontId="13" fillId="0" borderId="12" xfId="35" applyNumberFormat="1" applyFont="1" applyFill="1" applyBorder="1" applyAlignment="1">
      <alignment horizontal="left" vertical="center" wrapText="1"/>
      <protection/>
    </xf>
    <xf numFmtId="49" fontId="13" fillId="0" borderId="12" xfId="39" applyNumberFormat="1" applyFont="1" applyFill="1" applyBorder="1" applyAlignment="1" applyProtection="1">
      <alignment horizontal="center" vertical="center"/>
      <protection/>
    </xf>
    <xf numFmtId="49" fontId="13" fillId="0" borderId="12" xfId="39" applyNumberFormat="1" applyFont="1" applyFill="1" applyBorder="1" applyAlignment="1" applyProtection="1">
      <alignment horizontal="left" vertical="center"/>
      <protection/>
    </xf>
    <xf numFmtId="49" fontId="35" fillId="0" borderId="12" xfId="39" applyNumberFormat="1" applyFont="1" applyFill="1" applyBorder="1" applyAlignment="1" applyProtection="1">
      <alignment horizontal="left" vertical="center"/>
      <protection/>
    </xf>
    <xf numFmtId="49" fontId="13" fillId="2" borderId="12" xfId="35" applyNumberFormat="1" applyFont="1" applyFill="1" applyBorder="1" applyAlignment="1" applyProtection="1">
      <alignment horizontal="left" vertical="center"/>
      <protection/>
    </xf>
    <xf numFmtId="49" fontId="13" fillId="0" borderId="12" xfId="39" applyNumberFormat="1" applyFont="1" applyFill="1" applyBorder="1" applyAlignment="1">
      <alignment horizontal="left"/>
      <protection/>
    </xf>
    <xf numFmtId="49" fontId="13" fillId="0" borderId="12" xfId="39" applyNumberFormat="1" applyFont="1" applyFill="1" applyBorder="1" applyAlignment="1">
      <alignment horizontal="center" vertical="center"/>
      <protection/>
    </xf>
    <xf numFmtId="49" fontId="13" fillId="0" borderId="12" xfId="39" applyNumberFormat="1" applyFont="1" applyBorder="1" applyAlignment="1">
      <alignment horizontal="left" vertical="center" wrapText="1"/>
      <protection/>
    </xf>
    <xf numFmtId="0" fontId="35" fillId="20" borderId="15" xfId="39" applyFont="1" applyFill="1" applyBorder="1" applyAlignment="1">
      <alignment vertical="center"/>
      <protection/>
    </xf>
    <xf numFmtId="0" fontId="35" fillId="20" borderId="16" xfId="39" applyFont="1" applyFill="1" applyBorder="1" applyAlignment="1">
      <alignment vertical="center"/>
      <protection/>
    </xf>
    <xf numFmtId="2" fontId="35" fillId="20" borderId="16" xfId="39" applyNumberFormat="1" applyFont="1" applyFill="1" applyBorder="1" applyAlignment="1">
      <alignment horizontal="right" vertical="center"/>
      <protection/>
    </xf>
    <xf numFmtId="0" fontId="35" fillId="9" borderId="15" xfId="39" applyFont="1" applyFill="1" applyBorder="1" applyAlignment="1">
      <alignment vertical="center"/>
      <protection/>
    </xf>
    <xf numFmtId="0" fontId="35" fillId="9" borderId="16" xfId="39" applyFont="1" applyFill="1" applyBorder="1" applyAlignment="1">
      <alignment vertical="center"/>
      <protection/>
    </xf>
    <xf numFmtId="2" fontId="35" fillId="9" borderId="16" xfId="39" applyNumberFormat="1" applyFont="1" applyFill="1" applyBorder="1" applyAlignment="1">
      <alignment vertical="center"/>
      <protection/>
    </xf>
    <xf numFmtId="2" fontId="35" fillId="9" borderId="16" xfId="39" applyNumberFormat="1" applyFont="1" applyFill="1" applyBorder="1" applyAlignment="1">
      <alignment horizontal="right" vertical="center"/>
      <protection/>
    </xf>
    <xf numFmtId="2" fontId="13" fillId="0" borderId="11" xfId="39" applyNumberFormat="1" applyFont="1" applyFill="1" applyBorder="1" applyAlignment="1">
      <alignment horizontal="right" vertical="center"/>
      <protection/>
    </xf>
    <xf numFmtId="0" fontId="37" fillId="9" borderId="17" xfId="39" applyFont="1" applyFill="1" applyBorder="1" applyAlignment="1">
      <alignment/>
      <protection/>
    </xf>
    <xf numFmtId="2" fontId="37" fillId="9" borderId="17" xfId="39" applyNumberFormat="1" applyFont="1" applyFill="1" applyBorder="1" applyAlignment="1">
      <alignment/>
      <protection/>
    </xf>
    <xf numFmtId="49" fontId="13" fillId="0" borderId="18" xfId="39" applyNumberFormat="1" applyFont="1" applyFill="1" applyBorder="1" applyAlignment="1">
      <alignment horizontal="center"/>
      <protection/>
    </xf>
    <xf numFmtId="2" fontId="13" fillId="18" borderId="11" xfId="39" applyNumberFormat="1" applyFont="1" applyFill="1" applyBorder="1" applyAlignment="1">
      <alignment horizontal="right" vertical="center"/>
      <protection/>
    </xf>
    <xf numFmtId="2" fontId="35" fillId="18" borderId="11" xfId="39" applyNumberFormat="1" applyFont="1" applyFill="1" applyBorder="1" applyAlignment="1">
      <alignment horizontal="right" vertical="center"/>
      <protection/>
    </xf>
    <xf numFmtId="0" fontId="37" fillId="9" borderId="19" xfId="39" applyFont="1" applyFill="1" applyBorder="1" applyAlignment="1">
      <alignment vertical="center"/>
      <protection/>
    </xf>
    <xf numFmtId="0" fontId="37" fillId="9" borderId="17" xfId="39" applyFont="1" applyFill="1" applyBorder="1" applyAlignment="1">
      <alignment vertical="center"/>
      <protection/>
    </xf>
    <xf numFmtId="2" fontId="37" fillId="9" borderId="17" xfId="39" applyNumberFormat="1" applyFont="1" applyFill="1" applyBorder="1" applyAlignment="1">
      <alignment vertical="center"/>
      <protection/>
    </xf>
    <xf numFmtId="49" fontId="13" fillId="0" borderId="18" xfId="39" applyNumberFormat="1" applyFont="1" applyFill="1" applyBorder="1" applyAlignment="1">
      <alignment horizontal="center" vertical="center"/>
      <protection/>
    </xf>
    <xf numFmtId="0" fontId="37" fillId="9" borderId="19" xfId="39" applyFont="1" applyFill="1" applyBorder="1" applyAlignment="1">
      <alignment horizontal="left" vertical="center"/>
      <protection/>
    </xf>
    <xf numFmtId="2" fontId="35" fillId="9" borderId="16" xfId="39" applyNumberFormat="1" applyFont="1" applyFill="1" applyBorder="1" applyAlignment="1">
      <alignment horizontal="right" vertical="center" wrapText="1"/>
      <protection/>
    </xf>
    <xf numFmtId="49" fontId="13" fillId="2" borderId="18" xfId="39" applyNumberFormat="1" applyFont="1" applyFill="1" applyBorder="1" applyAlignment="1">
      <alignment horizontal="center" vertical="center"/>
      <protection/>
    </xf>
    <xf numFmtId="2" fontId="37" fillId="18" borderId="11" xfId="39" applyNumberFormat="1" applyFont="1" applyFill="1" applyBorder="1" applyAlignment="1">
      <alignment horizontal="right" vertical="center"/>
      <protection/>
    </xf>
    <xf numFmtId="0" fontId="37" fillId="9" borderId="19" xfId="39" applyFont="1" applyFill="1" applyBorder="1" applyAlignment="1">
      <alignment vertical="center" wrapText="1"/>
      <protection/>
    </xf>
    <xf numFmtId="2" fontId="13" fillId="9" borderId="17" xfId="39" applyNumberFormat="1" applyFont="1" applyFill="1" applyBorder="1" applyAlignment="1">
      <alignment horizontal="right" vertical="center" wrapText="1"/>
      <protection/>
    </xf>
    <xf numFmtId="0" fontId="13" fillId="0" borderId="14" xfId="39" applyFont="1" applyFill="1" applyBorder="1" applyAlignment="1" applyProtection="1">
      <alignment horizontal="center" vertical="center" wrapText="1"/>
      <protection/>
    </xf>
    <xf numFmtId="0" fontId="35" fillId="19" borderId="14" xfId="39" applyFont="1" applyFill="1" applyBorder="1" applyAlignment="1">
      <alignment horizontal="left" vertical="center" wrapText="1"/>
      <protection/>
    </xf>
    <xf numFmtId="0" fontId="13" fillId="0" borderId="14" xfId="38" applyFont="1" applyFill="1" applyBorder="1" applyAlignment="1" applyProtection="1">
      <alignment horizontal="center" vertical="center" wrapText="1"/>
      <protection/>
    </xf>
    <xf numFmtId="0" fontId="37" fillId="0" borderId="14" xfId="38" applyFont="1" applyFill="1" applyBorder="1" applyAlignment="1">
      <alignment horizontal="center" vertical="center"/>
      <protection/>
    </xf>
    <xf numFmtId="0" fontId="35" fillId="20" borderId="14" xfId="39" applyFont="1" applyFill="1" applyBorder="1" applyAlignment="1">
      <alignment horizontal="center" vertical="center"/>
      <protection/>
    </xf>
    <xf numFmtId="2" fontId="6" fillId="0" borderId="14" xfId="38" applyNumberFormat="1" applyFont="1" applyFill="1" applyBorder="1" applyAlignment="1">
      <alignment horizontal="right" vertical="center"/>
      <protection/>
    </xf>
    <xf numFmtId="0" fontId="13" fillId="0" borderId="14" xfId="39" applyFont="1" applyFill="1" applyBorder="1" applyAlignment="1">
      <alignment horizontal="center" vertical="center"/>
      <protection/>
    </xf>
    <xf numFmtId="0" fontId="35" fillId="0" borderId="14" xfId="39" applyFont="1" applyFill="1" applyBorder="1" applyAlignment="1">
      <alignment horizontal="center" vertical="center"/>
      <protection/>
    </xf>
    <xf numFmtId="0" fontId="13" fillId="2" borderId="14" xfId="38" applyFont="1" applyFill="1" applyBorder="1" applyAlignment="1">
      <alignment horizontal="center" vertical="center"/>
      <protection/>
    </xf>
    <xf numFmtId="0" fontId="37" fillId="20" borderId="14" xfId="39" applyFont="1" applyFill="1" applyBorder="1" applyAlignment="1">
      <alignment horizontal="center" vertical="center"/>
      <protection/>
    </xf>
    <xf numFmtId="0" fontId="13" fillId="2" borderId="14" xfId="39" applyFont="1" applyFill="1" applyBorder="1" applyAlignment="1">
      <alignment horizontal="center" vertical="center"/>
      <protection/>
    </xf>
    <xf numFmtId="0" fontId="35" fillId="20" borderId="14" xfId="38" applyFont="1" applyFill="1" applyBorder="1" applyAlignment="1" applyProtection="1">
      <alignment horizontal="center" vertical="center" wrapText="1"/>
      <protection/>
    </xf>
    <xf numFmtId="0" fontId="37" fillId="0" borderId="14" xfId="39" applyFont="1" applyFill="1" applyBorder="1" applyAlignment="1">
      <alignment horizontal="center" vertical="center"/>
      <protection/>
    </xf>
    <xf numFmtId="0" fontId="13" fillId="20" borderId="14" xfId="39" applyFont="1" applyFill="1" applyBorder="1" applyAlignment="1">
      <alignment horizontal="center" vertical="center"/>
      <protection/>
    </xf>
    <xf numFmtId="0" fontId="37" fillId="19" borderId="14" xfId="39" applyFont="1" applyFill="1" applyBorder="1" applyAlignment="1">
      <alignment horizontal="center" vertical="center"/>
      <protection/>
    </xf>
    <xf numFmtId="0" fontId="37" fillId="18" borderId="14" xfId="39" applyFont="1" applyFill="1" applyBorder="1" applyAlignment="1">
      <alignment horizontal="center" vertical="center"/>
      <protection/>
    </xf>
    <xf numFmtId="0" fontId="37" fillId="18" borderId="20" xfId="39" applyFont="1" applyFill="1" applyBorder="1" applyAlignment="1">
      <alignment horizontal="center" vertical="center"/>
      <protection/>
    </xf>
    <xf numFmtId="0" fontId="35" fillId="9" borderId="21" xfId="39" applyFont="1" applyFill="1" applyBorder="1" applyAlignment="1">
      <alignment horizontal="center" vertical="center"/>
      <protection/>
    </xf>
    <xf numFmtId="0" fontId="37" fillId="9" borderId="22" xfId="39" applyFont="1" applyFill="1" applyBorder="1" applyAlignment="1">
      <alignment vertical="center" wrapText="1"/>
      <protection/>
    </xf>
    <xf numFmtId="0" fontId="13" fillId="19" borderId="14" xfId="39" applyFont="1" applyFill="1" applyBorder="1" applyAlignment="1">
      <alignment horizontal="center" vertical="center" wrapText="1"/>
      <protection/>
    </xf>
    <xf numFmtId="0" fontId="13" fillId="0" borderId="14" xfId="39" applyFont="1" applyBorder="1" applyAlignment="1">
      <alignment horizontal="center" vertical="center" wrapText="1"/>
      <protection/>
    </xf>
    <xf numFmtId="0" fontId="13" fillId="20" borderId="14" xfId="39" applyFont="1" applyFill="1" applyBorder="1" applyAlignment="1">
      <alignment horizontal="center" vertical="center" wrapText="1"/>
      <protection/>
    </xf>
    <xf numFmtId="0" fontId="13" fillId="18" borderId="14" xfId="39" applyFont="1" applyFill="1" applyBorder="1" applyAlignment="1">
      <alignment horizontal="center" vertical="center" wrapText="1"/>
      <protection/>
    </xf>
    <xf numFmtId="0" fontId="13" fillId="9" borderId="21" xfId="39" applyFont="1" applyFill="1" applyBorder="1" applyAlignment="1">
      <alignment horizontal="center" vertical="center" wrapText="1"/>
      <protection/>
    </xf>
    <xf numFmtId="0" fontId="37" fillId="9" borderId="22" xfId="39" applyFont="1" applyFill="1" applyBorder="1" applyAlignment="1">
      <alignment/>
      <protection/>
    </xf>
    <xf numFmtId="0" fontId="13" fillId="0" borderId="14" xfId="74" applyFont="1" applyBorder="1" applyAlignment="1">
      <alignment horizontal="center" vertical="center" wrapText="1"/>
      <protection/>
    </xf>
    <xf numFmtId="0" fontId="13" fillId="19" borderId="14" xfId="39" applyFont="1" applyFill="1" applyBorder="1" applyAlignment="1">
      <alignment horizontal="center" vertical="center"/>
      <protection/>
    </xf>
    <xf numFmtId="0" fontId="13" fillId="18" borderId="14" xfId="39" applyFont="1" applyFill="1" applyBorder="1" applyAlignment="1">
      <alignment horizontal="center" vertical="center"/>
      <protection/>
    </xf>
    <xf numFmtId="0" fontId="13" fillId="18" borderId="20" xfId="39" applyFont="1" applyFill="1" applyBorder="1" applyAlignment="1">
      <alignment horizontal="center" vertical="center"/>
      <protection/>
    </xf>
    <xf numFmtId="0" fontId="37" fillId="9" borderId="22" xfId="39" applyFont="1" applyFill="1" applyBorder="1" applyAlignment="1">
      <alignment vertical="center"/>
      <protection/>
    </xf>
    <xf numFmtId="0" fontId="35" fillId="0" borderId="14" xfId="35" applyFont="1" applyBorder="1" applyAlignment="1">
      <alignment horizontal="center" vertical="center"/>
      <protection/>
    </xf>
    <xf numFmtId="0" fontId="13" fillId="0" borderId="14" xfId="35" applyFont="1" applyFill="1" applyBorder="1" applyAlignment="1">
      <alignment horizontal="center" vertical="center" wrapText="1"/>
      <protection/>
    </xf>
    <xf numFmtId="0" fontId="13" fillId="2" borderId="14" xfId="35" applyFont="1" applyFill="1" applyBorder="1" applyAlignment="1">
      <alignment horizontal="center" vertical="center"/>
      <protection/>
    </xf>
    <xf numFmtId="0" fontId="35" fillId="0" borderId="14" xfId="39" applyFont="1" applyFill="1" applyBorder="1" applyAlignment="1">
      <alignment horizontal="center" vertical="center" wrapText="1"/>
      <protection/>
    </xf>
    <xf numFmtId="0" fontId="13" fillId="0" borderId="20" xfId="39" applyFont="1" applyFill="1" applyBorder="1" applyAlignment="1">
      <alignment horizontal="center" vertical="center"/>
      <protection/>
    </xf>
    <xf numFmtId="2" fontId="35" fillId="9" borderId="21" xfId="39" applyNumberFormat="1" applyFont="1" applyFill="1" applyBorder="1" applyAlignment="1">
      <alignment horizontal="center" vertical="center"/>
      <protection/>
    </xf>
    <xf numFmtId="0" fontId="35" fillId="20" borderId="21" xfId="39" applyFont="1" applyFill="1" applyBorder="1" applyAlignment="1">
      <alignment vertical="center"/>
      <protection/>
    </xf>
    <xf numFmtId="0" fontId="13" fillId="0" borderId="12" xfId="39" applyFont="1" applyFill="1" applyBorder="1" applyAlignment="1">
      <alignment horizontal="right" vertical="center" wrapText="1"/>
      <protection/>
    </xf>
    <xf numFmtId="2" fontId="37" fillId="0" borderId="13" xfId="39" applyNumberFormat="1" applyFont="1" applyFill="1" applyBorder="1" applyAlignment="1">
      <alignment horizontal="right" vertical="center"/>
      <protection/>
    </xf>
    <xf numFmtId="2" fontId="13" fillId="0" borderId="13" xfId="39" applyNumberFormat="1" applyFont="1" applyFill="1" applyBorder="1" applyAlignment="1">
      <alignment horizontal="right" vertical="center"/>
      <protection/>
    </xf>
    <xf numFmtId="2" fontId="35" fillId="19" borderId="12" xfId="39" applyNumberFormat="1" applyFont="1" applyFill="1" applyBorder="1" applyAlignment="1">
      <alignment horizontal="right" vertical="center" wrapText="1"/>
      <protection/>
    </xf>
    <xf numFmtId="2" fontId="35" fillId="19" borderId="13" xfId="39" applyNumberFormat="1" applyFont="1" applyFill="1" applyBorder="1" applyAlignment="1">
      <alignment horizontal="right" vertical="center" wrapText="1"/>
      <protection/>
    </xf>
    <xf numFmtId="0" fontId="13" fillId="0" borderId="12" xfId="38" applyFont="1" applyFill="1" applyBorder="1" applyAlignment="1">
      <alignment horizontal="right" vertical="center" wrapText="1"/>
      <protection/>
    </xf>
    <xf numFmtId="2" fontId="13" fillId="0" borderId="13" xfId="38" applyNumberFormat="1" applyFont="1" applyFill="1" applyBorder="1" applyAlignment="1">
      <alignment horizontal="right" vertical="center"/>
      <protection/>
    </xf>
    <xf numFmtId="2" fontId="13" fillId="0" borderId="12" xfId="38" applyNumberFormat="1" applyFont="1" applyFill="1" applyBorder="1" applyAlignment="1">
      <alignment horizontal="right" vertical="center" wrapText="1"/>
      <protection/>
    </xf>
    <xf numFmtId="2" fontId="35" fillId="20" borderId="12" xfId="39" applyNumberFormat="1" applyFont="1" applyFill="1" applyBorder="1" applyAlignment="1">
      <alignment horizontal="right" vertical="center"/>
      <protection/>
    </xf>
    <xf numFmtId="2" fontId="35" fillId="20" borderId="13" xfId="39" applyNumberFormat="1" applyFont="1" applyFill="1" applyBorder="1" applyAlignment="1">
      <alignment horizontal="right" vertical="center"/>
      <protection/>
    </xf>
    <xf numFmtId="2" fontId="6" fillId="0" borderId="12" xfId="38" applyNumberFormat="1" applyFont="1" applyFill="1" applyBorder="1" applyAlignment="1">
      <alignment horizontal="right" vertical="center"/>
      <protection/>
    </xf>
    <xf numFmtId="2" fontId="35" fillId="0" borderId="13" xfId="38" applyNumberFormat="1" applyFont="1" applyFill="1" applyBorder="1" applyAlignment="1">
      <alignment horizontal="right" vertical="center"/>
      <protection/>
    </xf>
    <xf numFmtId="2" fontId="13" fillId="0" borderId="12" xfId="39" applyNumberFormat="1" applyFont="1" applyFill="1" applyBorder="1" applyAlignment="1">
      <alignment horizontal="right" vertical="center"/>
      <protection/>
    </xf>
    <xf numFmtId="2" fontId="35" fillId="0" borderId="12" xfId="39" applyNumberFormat="1" applyFont="1" applyFill="1" applyBorder="1" applyAlignment="1">
      <alignment horizontal="right" vertical="center"/>
      <protection/>
    </xf>
    <xf numFmtId="2" fontId="35" fillId="0" borderId="13" xfId="39" applyNumberFormat="1" applyFont="1" applyFill="1" applyBorder="1" applyAlignment="1">
      <alignment horizontal="right" vertical="center"/>
      <protection/>
    </xf>
    <xf numFmtId="2" fontId="13" fillId="0" borderId="13" xfId="39" applyNumberFormat="1" applyFont="1" applyFill="1" applyBorder="1" applyAlignment="1">
      <alignment vertical="center"/>
      <protection/>
    </xf>
    <xf numFmtId="2" fontId="6" fillId="2" borderId="12" xfId="38" applyNumberFormat="1" applyFont="1" applyFill="1" applyBorder="1" applyAlignment="1">
      <alignment horizontal="right" vertical="center"/>
      <protection/>
    </xf>
    <xf numFmtId="2" fontId="35" fillId="2" borderId="13" xfId="38" applyNumberFormat="1" applyFont="1" applyFill="1" applyBorder="1" applyAlignment="1">
      <alignment horizontal="right" vertical="center"/>
      <protection/>
    </xf>
    <xf numFmtId="2" fontId="35" fillId="20" borderId="12" xfId="38" applyNumberFormat="1" applyFont="1" applyFill="1" applyBorder="1" applyAlignment="1">
      <alignment horizontal="right" vertical="center" wrapText="1"/>
      <protection/>
    </xf>
    <xf numFmtId="2" fontId="35" fillId="20" borderId="13" xfId="38" applyNumberFormat="1" applyFont="1" applyFill="1" applyBorder="1" applyAlignment="1">
      <alignment horizontal="right" vertical="center"/>
      <protection/>
    </xf>
    <xf numFmtId="2" fontId="13" fillId="0" borderId="12" xfId="39" applyNumberFormat="1" applyFont="1" applyFill="1" applyBorder="1" applyAlignment="1">
      <alignment horizontal="center" vertical="center" wrapText="1"/>
      <protection/>
    </xf>
    <xf numFmtId="2" fontId="13" fillId="0" borderId="13" xfId="38" applyNumberFormat="1" applyFont="1" applyFill="1" applyBorder="1" applyAlignment="1">
      <alignment horizontal="center" vertical="center" wrapText="1"/>
      <protection/>
    </xf>
    <xf numFmtId="2" fontId="13" fillId="2" borderId="12" xfId="39" applyNumberFormat="1" applyFont="1" applyFill="1" applyBorder="1" applyAlignment="1">
      <alignment horizontal="right" vertical="center"/>
      <protection/>
    </xf>
    <xf numFmtId="2" fontId="13" fillId="2" borderId="13" xfId="39" applyNumberFormat="1" applyFont="1" applyFill="1" applyBorder="1" applyAlignment="1">
      <alignment horizontal="right" vertical="center"/>
      <protection/>
    </xf>
    <xf numFmtId="2" fontId="13" fillId="0" borderId="13" xfId="38" applyNumberFormat="1" applyFont="1" applyFill="1" applyBorder="1" applyAlignment="1">
      <alignment vertical="center" wrapText="1"/>
      <protection/>
    </xf>
    <xf numFmtId="2" fontId="35" fillId="19" borderId="12" xfId="39" applyNumberFormat="1" applyFont="1" applyFill="1" applyBorder="1" applyAlignment="1">
      <alignment horizontal="right" vertical="center"/>
      <protection/>
    </xf>
    <xf numFmtId="2" fontId="35" fillId="19" borderId="13" xfId="39" applyNumberFormat="1" applyFont="1" applyFill="1" applyBorder="1" applyAlignment="1">
      <alignment horizontal="right" vertical="center"/>
      <protection/>
    </xf>
    <xf numFmtId="2" fontId="35" fillId="18" borderId="12" xfId="39" applyNumberFormat="1" applyFont="1" applyFill="1" applyBorder="1" applyAlignment="1">
      <alignment horizontal="right" vertical="center"/>
      <protection/>
    </xf>
    <xf numFmtId="2" fontId="35" fillId="18" borderId="13" xfId="39" applyNumberFormat="1" applyFont="1" applyFill="1" applyBorder="1" applyAlignment="1">
      <alignment horizontal="right" vertical="center"/>
      <protection/>
    </xf>
    <xf numFmtId="2" fontId="13" fillId="0" borderId="12" xfId="39" applyNumberFormat="1" applyFont="1" applyFill="1" applyBorder="1" applyAlignment="1">
      <alignment horizontal="right" vertical="center" wrapText="1"/>
      <protection/>
    </xf>
    <xf numFmtId="2" fontId="13" fillId="0" borderId="13" xfId="38" applyNumberFormat="1" applyFont="1" applyFill="1" applyBorder="1" applyAlignment="1">
      <alignment horizontal="right" vertical="center" wrapText="1"/>
      <protection/>
    </xf>
    <xf numFmtId="2" fontId="6" fillId="18" borderId="18" xfId="39" applyNumberFormat="1" applyFont="1" applyFill="1" applyBorder="1" applyAlignment="1">
      <alignment horizontal="right" vertical="center"/>
      <protection/>
    </xf>
    <xf numFmtId="2" fontId="35" fillId="18" borderId="23" xfId="39" applyNumberFormat="1" applyFont="1" applyFill="1" applyBorder="1" applyAlignment="1">
      <alignment horizontal="right" vertical="center"/>
      <protection/>
    </xf>
    <xf numFmtId="2" fontId="35" fillId="9" borderId="15" xfId="39" applyNumberFormat="1" applyFont="1" applyFill="1" applyBorder="1" applyAlignment="1">
      <alignment vertical="center"/>
      <protection/>
    </xf>
    <xf numFmtId="2" fontId="35" fillId="9" borderId="24" xfId="39" applyNumberFormat="1" applyFont="1" applyFill="1" applyBorder="1" applyAlignment="1">
      <alignment horizontal="right" vertical="center"/>
      <protection/>
    </xf>
    <xf numFmtId="2" fontId="13" fillId="9" borderId="25" xfId="39" applyNumberFormat="1" applyFont="1" applyFill="1" applyBorder="1" applyAlignment="1">
      <alignment horizontal="right" vertical="center" wrapText="1"/>
      <protection/>
    </xf>
    <xf numFmtId="0" fontId="13" fillId="19" borderId="12" xfId="39" applyFont="1" applyFill="1" applyBorder="1" applyAlignment="1">
      <alignment horizontal="right" vertical="center" wrapText="1"/>
      <protection/>
    </xf>
    <xf numFmtId="0" fontId="13" fillId="0" borderId="12" xfId="39" applyFont="1" applyBorder="1" applyAlignment="1">
      <alignment horizontal="right" vertical="center" wrapText="1"/>
      <protection/>
    </xf>
    <xf numFmtId="2" fontId="13" fillId="0" borderId="12" xfId="39" applyNumberFormat="1" applyFont="1" applyBorder="1" applyAlignment="1">
      <alignment horizontal="right" vertical="center" wrapText="1"/>
      <protection/>
    </xf>
    <xf numFmtId="2" fontId="13" fillId="20" borderId="12" xfId="39" applyNumberFormat="1" applyFont="1" applyFill="1" applyBorder="1" applyAlignment="1">
      <alignment vertical="center" wrapText="1"/>
      <protection/>
    </xf>
    <xf numFmtId="2" fontId="13" fillId="18" borderId="12" xfId="39" applyNumberFormat="1" applyFont="1" applyFill="1" applyBorder="1" applyAlignment="1">
      <alignment vertical="center" wrapText="1"/>
      <protection/>
    </xf>
    <xf numFmtId="2" fontId="35" fillId="18" borderId="13" xfId="39" applyNumberFormat="1" applyFont="1" applyFill="1" applyBorder="1" applyAlignment="1">
      <alignment horizontal="right" vertical="center" wrapText="1"/>
      <protection/>
    </xf>
    <xf numFmtId="2" fontId="13" fillId="0" borderId="12" xfId="39" applyNumberFormat="1" applyFont="1" applyFill="1" applyBorder="1" applyAlignment="1">
      <alignment vertical="center" wrapText="1"/>
      <protection/>
    </xf>
    <xf numFmtId="2" fontId="35" fillId="9" borderId="24" xfId="39" applyNumberFormat="1" applyFont="1" applyFill="1" applyBorder="1" applyAlignment="1">
      <alignment horizontal="right" vertical="center" wrapText="1"/>
      <protection/>
    </xf>
    <xf numFmtId="2" fontId="37" fillId="9" borderId="19" xfId="39" applyNumberFormat="1" applyFont="1" applyFill="1" applyBorder="1" applyAlignment="1">
      <alignment/>
      <protection/>
    </xf>
    <xf numFmtId="2" fontId="37" fillId="9" borderId="25" xfId="39" applyNumberFormat="1" applyFont="1" applyFill="1" applyBorder="1" applyAlignment="1">
      <alignment/>
      <protection/>
    </xf>
    <xf numFmtId="2" fontId="13" fillId="0" borderId="12" xfId="39" applyNumberFormat="1" applyFont="1" applyFill="1" applyBorder="1" applyAlignment="1">
      <alignment vertical="center"/>
      <protection/>
    </xf>
    <xf numFmtId="2" fontId="13" fillId="0" borderId="12" xfId="39" applyNumberFormat="1" applyFont="1" applyFill="1" applyBorder="1" applyAlignment="1" applyProtection="1">
      <alignment vertical="center"/>
      <protection/>
    </xf>
    <xf numFmtId="2" fontId="13" fillId="0" borderId="12" xfId="74" applyNumberFormat="1" applyFont="1" applyBorder="1" applyAlignment="1">
      <alignment horizontal="right" vertical="center"/>
      <protection/>
    </xf>
    <xf numFmtId="2" fontId="13" fillId="0" borderId="12" xfId="74" applyNumberFormat="1" applyFont="1" applyBorder="1" applyAlignment="1">
      <alignment vertical="center"/>
      <protection/>
    </xf>
    <xf numFmtId="2" fontId="13" fillId="19" borderId="12" xfId="39" applyNumberFormat="1" applyFont="1" applyFill="1" applyBorder="1" applyAlignment="1">
      <alignment vertical="center"/>
      <protection/>
    </xf>
    <xf numFmtId="2" fontId="13" fillId="20" borderId="12" xfId="39" applyNumberFormat="1" applyFont="1" applyFill="1" applyBorder="1" applyAlignment="1" applyProtection="1">
      <alignment vertical="center"/>
      <protection/>
    </xf>
    <xf numFmtId="2" fontId="13" fillId="19" borderId="12" xfId="39" applyNumberFormat="1" applyFont="1" applyFill="1" applyBorder="1" applyAlignment="1" applyProtection="1">
      <alignment vertical="center"/>
      <protection/>
    </xf>
    <xf numFmtId="2" fontId="13" fillId="18" borderId="12" xfId="39" applyNumberFormat="1" applyFont="1" applyFill="1" applyBorder="1" applyAlignment="1">
      <alignment vertical="center"/>
      <protection/>
    </xf>
    <xf numFmtId="2" fontId="13" fillId="18" borderId="18" xfId="39" applyNumberFormat="1" applyFont="1" applyFill="1" applyBorder="1" applyAlignment="1">
      <alignment vertical="center"/>
      <protection/>
    </xf>
    <xf numFmtId="2" fontId="37" fillId="9" borderId="19" xfId="39" applyNumberFormat="1" applyFont="1" applyFill="1" applyBorder="1" applyAlignment="1">
      <alignment vertical="center"/>
      <protection/>
    </xf>
    <xf numFmtId="2" fontId="37" fillId="9" borderId="25" xfId="39" applyNumberFormat="1" applyFont="1" applyFill="1" applyBorder="1" applyAlignment="1">
      <alignment vertical="center"/>
      <protection/>
    </xf>
    <xf numFmtId="2" fontId="13" fillId="0" borderId="12" xfId="35" applyNumberFormat="1" applyFont="1" applyBorder="1" applyAlignment="1">
      <alignment vertical="center"/>
      <protection/>
    </xf>
    <xf numFmtId="2" fontId="13" fillId="0" borderId="13" xfId="35" applyNumberFormat="1" applyFont="1" applyFill="1" applyBorder="1" applyAlignment="1">
      <alignment horizontal="right" vertical="center"/>
      <protection/>
    </xf>
    <xf numFmtId="2" fontId="13" fillId="0" borderId="12" xfId="35" applyNumberFormat="1" applyFont="1" applyFill="1" applyBorder="1" applyAlignment="1">
      <alignment vertical="center" wrapText="1"/>
      <protection/>
    </xf>
    <xf numFmtId="2" fontId="13" fillId="2" borderId="13" xfId="35" applyNumberFormat="1" applyFont="1" applyFill="1" applyBorder="1" applyAlignment="1">
      <alignment horizontal="right" vertical="center"/>
      <protection/>
    </xf>
    <xf numFmtId="2" fontId="13" fillId="0" borderId="12" xfId="35" applyNumberFormat="1" applyFont="1" applyFill="1" applyBorder="1" applyAlignment="1">
      <alignment vertical="center"/>
      <protection/>
    </xf>
    <xf numFmtId="2" fontId="13" fillId="0" borderId="18" xfId="39" applyNumberFormat="1" applyFont="1" applyFill="1" applyBorder="1" applyAlignment="1">
      <alignment vertical="center" wrapText="1"/>
      <protection/>
    </xf>
    <xf numFmtId="2" fontId="13" fillId="0" borderId="23" xfId="39" applyNumberFormat="1" applyFont="1" applyFill="1" applyBorder="1" applyAlignment="1">
      <alignment horizontal="right" vertical="center"/>
      <protection/>
    </xf>
    <xf numFmtId="2" fontId="35" fillId="20" borderId="24" xfId="39" applyNumberFormat="1" applyFont="1" applyFill="1" applyBorder="1" applyAlignment="1">
      <alignment horizontal="right" vertical="center"/>
      <protection/>
    </xf>
    <xf numFmtId="2" fontId="37" fillId="0" borderId="12" xfId="39" applyNumberFormat="1" applyFont="1" applyFill="1" applyBorder="1" applyAlignment="1">
      <alignment horizontal="right" vertical="center"/>
      <protection/>
    </xf>
    <xf numFmtId="2" fontId="13" fillId="0" borderId="12" xfId="38" applyNumberFormat="1" applyFont="1" applyFill="1" applyBorder="1" applyAlignment="1">
      <alignment horizontal="right" vertical="center"/>
      <protection/>
    </xf>
    <xf numFmtId="2" fontId="35" fillId="0" borderId="12" xfId="38" applyNumberFormat="1" applyFont="1" applyFill="1" applyBorder="1" applyAlignment="1">
      <alignment horizontal="right" vertical="center"/>
      <protection/>
    </xf>
    <xf numFmtId="2" fontId="35" fillId="2" borderId="12" xfId="38" applyNumberFormat="1" applyFont="1" applyFill="1" applyBorder="1" applyAlignment="1">
      <alignment horizontal="right" vertical="center"/>
      <protection/>
    </xf>
    <xf numFmtId="2" fontId="35" fillId="20" borderId="12" xfId="38" applyNumberFormat="1" applyFont="1" applyFill="1" applyBorder="1" applyAlignment="1">
      <alignment horizontal="right" vertical="center"/>
      <protection/>
    </xf>
    <xf numFmtId="2" fontId="13" fillId="0" borderId="12" xfId="38" applyNumberFormat="1" applyFont="1" applyFill="1" applyBorder="1" applyAlignment="1">
      <alignment horizontal="center" vertical="center" wrapText="1"/>
      <protection/>
    </xf>
    <xf numFmtId="2" fontId="35" fillId="18" borderId="18" xfId="39" applyNumberFormat="1" applyFont="1" applyFill="1" applyBorder="1" applyAlignment="1">
      <alignment horizontal="right" vertical="center"/>
      <protection/>
    </xf>
    <xf numFmtId="2" fontId="35" fillId="9" borderId="15" xfId="39" applyNumberFormat="1" applyFont="1" applyFill="1" applyBorder="1" applyAlignment="1">
      <alignment horizontal="right" vertical="center"/>
      <protection/>
    </xf>
    <xf numFmtId="2" fontId="13" fillId="9" borderId="19" xfId="39" applyNumberFormat="1" applyFont="1" applyFill="1" applyBorder="1" applyAlignment="1">
      <alignment horizontal="right" vertical="center" wrapText="1"/>
      <protection/>
    </xf>
    <xf numFmtId="2" fontId="35" fillId="20" borderId="12" xfId="39" applyNumberFormat="1" applyFont="1" applyFill="1" applyBorder="1" applyAlignment="1">
      <alignment horizontal="right" vertical="center" wrapText="1"/>
      <protection/>
    </xf>
    <xf numFmtId="2" fontId="35" fillId="18" borderId="12" xfId="39" applyNumberFormat="1" applyFont="1" applyFill="1" applyBorder="1" applyAlignment="1">
      <alignment horizontal="right" vertical="center" wrapText="1"/>
      <protection/>
    </xf>
    <xf numFmtId="2" fontId="13" fillId="18" borderId="12" xfId="39" applyNumberFormat="1" applyFont="1" applyFill="1" applyBorder="1" applyAlignment="1">
      <alignment horizontal="right" vertical="center" wrapText="1"/>
      <protection/>
    </xf>
    <xf numFmtId="2" fontId="35" fillId="9" borderId="15" xfId="39" applyNumberFormat="1" applyFont="1" applyFill="1" applyBorder="1" applyAlignment="1">
      <alignment horizontal="right" vertical="center" wrapText="1"/>
      <protection/>
    </xf>
    <xf numFmtId="2" fontId="13" fillId="0" borderId="12" xfId="35" applyNumberFormat="1" applyFont="1" applyFill="1" applyBorder="1" applyAlignment="1">
      <alignment horizontal="right" vertical="center"/>
      <protection/>
    </xf>
    <xf numFmtId="2" fontId="13" fillId="2" borderId="12" xfId="35" applyNumberFormat="1" applyFont="1" applyFill="1" applyBorder="1" applyAlignment="1">
      <alignment horizontal="right" vertical="center"/>
      <protection/>
    </xf>
    <xf numFmtId="2" fontId="13" fillId="0" borderId="18" xfId="39" applyNumberFormat="1" applyFont="1" applyFill="1" applyBorder="1" applyAlignment="1">
      <alignment horizontal="right" vertical="center"/>
      <protection/>
    </xf>
    <xf numFmtId="2" fontId="35" fillId="20" borderId="15" xfId="39" applyNumberFormat="1" applyFont="1" applyFill="1" applyBorder="1" applyAlignment="1">
      <alignment horizontal="right" vertical="center"/>
      <protection/>
    </xf>
    <xf numFmtId="0" fontId="13" fillId="0" borderId="17" xfId="0" applyFont="1" applyBorder="1" applyAlignment="1">
      <alignment horizontal="center" vertical="center"/>
    </xf>
    <xf numFmtId="0" fontId="13" fillId="0" borderId="10" xfId="37" applyNumberFormat="1" applyFont="1" applyBorder="1" applyAlignment="1">
      <alignment horizontal="center" vertical="center"/>
      <protection/>
    </xf>
    <xf numFmtId="0" fontId="7" fillId="0" borderId="0" xfId="64">
      <alignment/>
      <protection/>
    </xf>
    <xf numFmtId="49" fontId="7" fillId="0" borderId="0" xfId="64" applyNumberFormat="1">
      <alignment/>
      <protection/>
    </xf>
    <xf numFmtId="0" fontId="4" fillId="0" borderId="0" xfId="64" applyFont="1">
      <alignment/>
      <protection/>
    </xf>
    <xf numFmtId="0" fontId="5" fillId="0" borderId="0" xfId="64" applyFont="1">
      <alignment/>
      <protection/>
    </xf>
    <xf numFmtId="49" fontId="4" fillId="0" borderId="0" xfId="64" applyNumberFormat="1" applyFont="1">
      <alignment/>
      <protection/>
    </xf>
    <xf numFmtId="0" fontId="4" fillId="0" borderId="0" xfId="64" applyFont="1" applyFill="1">
      <alignment/>
      <protection/>
    </xf>
    <xf numFmtId="0" fontId="11" fillId="0" borderId="0" xfId="64" applyFont="1" applyFill="1">
      <alignment/>
      <protection/>
    </xf>
    <xf numFmtId="0" fontId="13" fillId="0" borderId="10" xfId="37" applyNumberFormat="1" applyFont="1" applyBorder="1" applyAlignment="1">
      <alignment horizontal="center" wrapText="1"/>
      <protection/>
    </xf>
    <xf numFmtId="4" fontId="13" fillId="0" borderId="10" xfId="0" applyNumberFormat="1" applyFont="1" applyBorder="1" applyAlignment="1">
      <alignment horizontal="center" wrapText="1"/>
    </xf>
    <xf numFmtId="4" fontId="13" fillId="0" borderId="10" xfId="64" applyNumberFormat="1" applyFont="1" applyFill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center" wrapText="1"/>
    </xf>
    <xf numFmtId="0" fontId="13" fillId="0" borderId="10" xfId="37" applyNumberFormat="1" applyFont="1" applyBorder="1" applyAlignment="1">
      <alignment horizontal="center" vertical="center" wrapText="1"/>
      <protection/>
    </xf>
    <xf numFmtId="0" fontId="13" fillId="0" borderId="10" xfId="37" applyNumberFormat="1" applyFont="1" applyBorder="1" applyAlignment="1">
      <alignment horizontal="center"/>
      <protection/>
    </xf>
    <xf numFmtId="0" fontId="13" fillId="0" borderId="10" xfId="0" applyFont="1" applyBorder="1" applyAlignment="1">
      <alignment horizontal="center"/>
    </xf>
    <xf numFmtId="4" fontId="13" fillId="0" borderId="10" xfId="37" applyNumberFormat="1" applyFont="1" applyBorder="1" applyAlignment="1">
      <alignment horizontal="center"/>
      <protection/>
    </xf>
    <xf numFmtId="4" fontId="13" fillId="0" borderId="10" xfId="64" applyNumberFormat="1" applyFont="1" applyBorder="1" applyAlignment="1">
      <alignment horizontal="center"/>
      <protection/>
    </xf>
    <xf numFmtId="4" fontId="13" fillId="0" borderId="10" xfId="64" applyNumberFormat="1" applyFont="1" applyFill="1" applyBorder="1" applyAlignment="1">
      <alignment horizontal="center"/>
      <protection/>
    </xf>
    <xf numFmtId="4" fontId="13" fillId="0" borderId="10" xfId="64" applyNumberFormat="1" applyFont="1" applyFill="1" applyBorder="1" applyAlignment="1">
      <alignment horizontal="center" vertical="center"/>
      <protection/>
    </xf>
    <xf numFmtId="0" fontId="11" fillId="0" borderId="0" xfId="64" applyFont="1" applyFill="1" applyAlignment="1">
      <alignment horizontal="center"/>
      <protection/>
    </xf>
    <xf numFmtId="0" fontId="32" fillId="0" borderId="0" xfId="64" applyFont="1" applyFill="1" applyAlignment="1">
      <alignment horizontal="left"/>
      <protection/>
    </xf>
    <xf numFmtId="4" fontId="13" fillId="0" borderId="10" xfId="0" applyNumberFormat="1" applyFont="1" applyBorder="1" applyAlignment="1">
      <alignment horizontal="center" vertical="center" wrapText="1"/>
    </xf>
    <xf numFmtId="0" fontId="40" fillId="0" borderId="10" xfId="64" applyFont="1" applyFill="1" applyBorder="1" applyAlignment="1">
      <alignment horizontal="center" vertical="center" wrapText="1"/>
      <protection/>
    </xf>
    <xf numFmtId="0" fontId="40" fillId="0" borderId="10" xfId="64" applyFont="1" applyFill="1" applyBorder="1" applyAlignment="1">
      <alignment horizontal="center"/>
      <protection/>
    </xf>
    <xf numFmtId="0" fontId="40" fillId="0" borderId="10" xfId="64" applyFont="1" applyFill="1" applyBorder="1" applyAlignment="1">
      <alignment horizontal="left" vertical="center" wrapText="1"/>
      <protection/>
    </xf>
    <xf numFmtId="0" fontId="10" fillId="0" borderId="0" xfId="64" applyFont="1">
      <alignment/>
      <protection/>
    </xf>
    <xf numFmtId="0" fontId="40" fillId="0" borderId="0" xfId="63" applyFont="1" applyAlignment="1" applyProtection="1">
      <alignment/>
      <protection hidden="1"/>
    </xf>
    <xf numFmtId="0" fontId="40" fillId="0" borderId="10" xfId="64" applyFont="1" applyBorder="1">
      <alignment/>
      <protection/>
    </xf>
    <xf numFmtId="49" fontId="40" fillId="0" borderId="10" xfId="64" applyNumberFormat="1" applyFont="1" applyFill="1" applyBorder="1" applyAlignment="1">
      <alignment horizontal="center" vertical="center"/>
      <protection/>
    </xf>
    <xf numFmtId="4" fontId="10" fillId="0" borderId="10" xfId="64" applyNumberFormat="1" applyFont="1" applyFill="1" applyBorder="1" applyAlignment="1">
      <alignment horizontal="center" vertical="center"/>
      <protection/>
    </xf>
    <xf numFmtId="49" fontId="10" fillId="0" borderId="0" xfId="64" applyNumberFormat="1" applyFont="1">
      <alignment/>
      <protection/>
    </xf>
    <xf numFmtId="0" fontId="10" fillId="0" borderId="0" xfId="64" applyFont="1" applyFill="1">
      <alignment/>
      <protection/>
    </xf>
    <xf numFmtId="0" fontId="40" fillId="0" borderId="0" xfId="64" applyFont="1" applyFill="1">
      <alignment/>
      <protection/>
    </xf>
    <xf numFmtId="0" fontId="41" fillId="0" borderId="0" xfId="64" applyFont="1" applyFill="1" applyAlignment="1">
      <alignment horizontal="center"/>
      <protection/>
    </xf>
    <xf numFmtId="0" fontId="40" fillId="0" borderId="0" xfId="64" applyFont="1" applyFill="1" applyAlignment="1">
      <alignment horizontal="center"/>
      <protection/>
    </xf>
    <xf numFmtId="0" fontId="40" fillId="0" borderId="10" xfId="64" applyFont="1" applyBorder="1" applyAlignment="1">
      <alignment horizontal="center" vertical="center"/>
      <protection/>
    </xf>
    <xf numFmtId="49" fontId="40" fillId="0" borderId="10" xfId="64" applyNumberFormat="1" applyFont="1" applyFill="1" applyBorder="1" applyAlignment="1">
      <alignment horizontal="center"/>
      <protection/>
    </xf>
    <xf numFmtId="0" fontId="40" fillId="0" borderId="10" xfId="64" applyFont="1" applyFill="1" applyBorder="1" applyAlignment="1">
      <alignment horizontal="center" wrapText="1"/>
      <protection/>
    </xf>
    <xf numFmtId="0" fontId="40" fillId="0" borderId="10" xfId="64" applyFont="1" applyBorder="1" applyAlignment="1">
      <alignment horizontal="center"/>
      <protection/>
    </xf>
    <xf numFmtId="49" fontId="40" fillId="0" borderId="10" xfId="64" applyNumberFormat="1" applyFont="1" applyBorder="1" applyAlignment="1">
      <alignment horizontal="left"/>
      <protection/>
    </xf>
    <xf numFmtId="0" fontId="10" fillId="0" borderId="10" xfId="64" applyFont="1" applyBorder="1">
      <alignment/>
      <protection/>
    </xf>
    <xf numFmtId="0" fontId="40" fillId="0" borderId="10" xfId="64" applyFont="1" applyBorder="1" applyAlignment="1">
      <alignment horizontal="left" wrapText="1"/>
      <protection/>
    </xf>
    <xf numFmtId="0" fontId="40" fillId="0" borderId="10" xfId="64" applyFont="1" applyBorder="1" applyAlignment="1">
      <alignment horizontal="center" wrapText="1"/>
      <protection/>
    </xf>
    <xf numFmtId="2" fontId="40" fillId="0" borderId="10" xfId="64" applyNumberFormat="1" applyFont="1" applyBorder="1" applyAlignment="1">
      <alignment horizontal="center" wrapText="1"/>
      <protection/>
    </xf>
    <xf numFmtId="2" fontId="39" fillId="0" borderId="10" xfId="64" applyNumberFormat="1" applyFont="1" applyBorder="1" applyAlignment="1">
      <alignment horizontal="center" wrapText="1"/>
      <protection/>
    </xf>
    <xf numFmtId="2" fontId="39" fillId="0" borderId="10" xfId="64" applyNumberFormat="1" applyFont="1" applyFill="1" applyBorder="1" applyAlignment="1">
      <alignment horizontal="center" wrapText="1"/>
      <protection/>
    </xf>
    <xf numFmtId="0" fontId="40" fillId="2" borderId="10" xfId="64" applyFont="1" applyFill="1" applyBorder="1" applyAlignment="1">
      <alignment horizontal="left" wrapText="1"/>
      <protection/>
    </xf>
    <xf numFmtId="0" fontId="10" fillId="0" borderId="10" xfId="64" applyFont="1" applyFill="1" applyBorder="1">
      <alignment/>
      <protection/>
    </xf>
    <xf numFmtId="2" fontId="40" fillId="0" borderId="10" xfId="64" applyNumberFormat="1" applyFont="1" applyFill="1" applyBorder="1" applyAlignment="1">
      <alignment horizontal="center" wrapText="1"/>
      <protection/>
    </xf>
    <xf numFmtId="0" fontId="40" fillId="0" borderId="10" xfId="64" applyFont="1" applyFill="1" applyBorder="1" applyAlignment="1">
      <alignment horizontal="left" wrapText="1"/>
      <protection/>
    </xf>
    <xf numFmtId="0" fontId="40" fillId="0" borderId="10" xfId="64" applyNumberFormat="1" applyFont="1" applyBorder="1" applyAlignment="1">
      <alignment/>
      <protection/>
    </xf>
    <xf numFmtId="0" fontId="40" fillId="0" borderId="10" xfId="64" applyNumberFormat="1" applyFont="1" applyFill="1" applyBorder="1" applyAlignment="1">
      <alignment horizontal="left" vertical="center"/>
      <protection/>
    </xf>
    <xf numFmtId="4" fontId="40" fillId="0" borderId="10" xfId="64" applyNumberFormat="1" applyFont="1" applyBorder="1" applyAlignment="1">
      <alignment horizontal="center" wrapText="1"/>
      <protection/>
    </xf>
    <xf numFmtId="4" fontId="40" fillId="0" borderId="26" xfId="64" applyNumberFormat="1" applyFont="1" applyFill="1" applyBorder="1" applyAlignment="1">
      <alignment horizontal="center" vertical="center" wrapText="1"/>
      <protection/>
    </xf>
    <xf numFmtId="4" fontId="40" fillId="0" borderId="10" xfId="64" applyNumberFormat="1" applyFont="1" applyFill="1" applyBorder="1" applyAlignment="1">
      <alignment horizontal="center" vertical="center" wrapText="1"/>
      <protection/>
    </xf>
    <xf numFmtId="4" fontId="10" fillId="0" borderId="10" xfId="64" applyNumberFormat="1" applyFont="1" applyBorder="1">
      <alignment/>
      <protection/>
    </xf>
    <xf numFmtId="4" fontId="40" fillId="0" borderId="10" xfId="40" applyNumberFormat="1" applyFont="1" applyBorder="1" applyAlignment="1">
      <alignment horizontal="center"/>
      <protection/>
    </xf>
    <xf numFmtId="4" fontId="10" fillId="0" borderId="0" xfId="64" applyNumberFormat="1" applyFont="1" applyFill="1">
      <alignment/>
      <protection/>
    </xf>
    <xf numFmtId="4" fontId="10" fillId="0" borderId="10" xfId="64" applyNumberFormat="1" applyFont="1" applyFill="1" applyBorder="1">
      <alignment/>
      <protection/>
    </xf>
    <xf numFmtId="4" fontId="40" fillId="0" borderId="10" xfId="64" applyNumberFormat="1" applyFont="1" applyBorder="1" applyAlignment="1">
      <alignment horizontal="center"/>
      <protection/>
    </xf>
    <xf numFmtId="4" fontId="40" fillId="0" borderId="26" xfId="64" applyNumberFormat="1" applyFont="1" applyFill="1" applyBorder="1" applyAlignment="1">
      <alignment horizontal="center" vertical="center"/>
      <protection/>
    </xf>
    <xf numFmtId="49" fontId="40" fillId="0" borderId="10" xfId="64" applyNumberFormat="1" applyFont="1" applyFill="1" applyBorder="1" applyAlignment="1">
      <alignment horizontal="left" vertical="center"/>
      <protection/>
    </xf>
    <xf numFmtId="49" fontId="39" fillId="0" borderId="10" xfId="64" applyNumberFormat="1" applyFont="1" applyBorder="1" applyAlignment="1">
      <alignment horizontal="left"/>
      <protection/>
    </xf>
    <xf numFmtId="49" fontId="45" fillId="0" borderId="10" xfId="64" applyNumberFormat="1" applyFont="1" applyBorder="1" applyAlignment="1">
      <alignment horizontal="left"/>
      <protection/>
    </xf>
    <xf numFmtId="0" fontId="45" fillId="0" borderId="10" xfId="64" applyFont="1" applyBorder="1" applyAlignment="1">
      <alignment horizontal="left" wrapText="1"/>
      <protection/>
    </xf>
    <xf numFmtId="0" fontId="45" fillId="0" borderId="10" xfId="64" applyFont="1" applyBorder="1" applyAlignment="1">
      <alignment horizontal="center"/>
      <protection/>
    </xf>
    <xf numFmtId="2" fontId="45" fillId="0" borderId="10" xfId="64" applyNumberFormat="1" applyFont="1" applyBorder="1" applyAlignment="1">
      <alignment horizontal="center" wrapText="1"/>
      <protection/>
    </xf>
    <xf numFmtId="2" fontId="45" fillId="0" borderId="10" xfId="64" applyNumberFormat="1" applyFont="1" applyFill="1" applyBorder="1" applyAlignment="1">
      <alignment horizontal="center" wrapText="1"/>
      <protection/>
    </xf>
    <xf numFmtId="4" fontId="40" fillId="0" borderId="10" xfId="64" applyNumberFormat="1" applyFont="1" applyFill="1" applyBorder="1" applyAlignment="1">
      <alignment horizontal="center"/>
      <protection/>
    </xf>
    <xf numFmtId="185" fontId="10" fillId="0" borderId="0" xfId="40" applyNumberFormat="1" applyFont="1" applyFill="1" applyBorder="1" applyAlignment="1">
      <alignment horizontal="center" vertical="center"/>
      <protection/>
    </xf>
    <xf numFmtId="0" fontId="10" fillId="0" borderId="0" xfId="40" applyFont="1" applyAlignment="1">
      <alignment horizontal="center" vertical="center" wrapText="1"/>
      <protection/>
    </xf>
    <xf numFmtId="0" fontId="10" fillId="0" borderId="0" xfId="40" applyFont="1" applyAlignment="1" applyProtection="1">
      <alignment vertical="center"/>
      <protection/>
    </xf>
    <xf numFmtId="49" fontId="40" fillId="2" borderId="10" xfId="64" applyNumberFormat="1" applyFont="1" applyFill="1" applyBorder="1" applyAlignment="1" applyProtection="1">
      <alignment horizontal="right" vertical="center" wrapText="1"/>
      <protection/>
    </xf>
    <xf numFmtId="0" fontId="40" fillId="0" borderId="10" xfId="64" applyNumberFormat="1" applyFont="1" applyFill="1" applyBorder="1" applyAlignment="1" applyProtection="1">
      <alignment horizontal="center" vertical="center" wrapText="1"/>
      <protection/>
    </xf>
    <xf numFmtId="2" fontId="40" fillId="2" borderId="10" xfId="64" applyNumberFormat="1" applyFont="1" applyFill="1" applyBorder="1" applyAlignment="1" applyProtection="1">
      <alignment horizontal="center" vertical="center" wrapText="1"/>
      <protection/>
    </xf>
    <xf numFmtId="4" fontId="40" fillId="2" borderId="10" xfId="64" applyNumberFormat="1" applyFont="1" applyFill="1" applyBorder="1" applyAlignment="1" applyProtection="1">
      <alignment horizontal="center" vertical="center"/>
      <protection locked="0"/>
    </xf>
    <xf numFmtId="49" fontId="40" fillId="2" borderId="10" xfId="64" applyNumberFormat="1" applyFont="1" applyFill="1" applyBorder="1" applyAlignment="1" applyProtection="1">
      <alignment horizontal="center" vertical="center"/>
      <protection locked="0"/>
    </xf>
    <xf numFmtId="0" fontId="40" fillId="2" borderId="10" xfId="64" applyFont="1" applyFill="1" applyBorder="1" applyProtection="1">
      <alignment/>
      <protection/>
    </xf>
    <xf numFmtId="0" fontId="40" fillId="2" borderId="0" xfId="64" applyFont="1" applyFill="1" applyProtection="1">
      <alignment/>
      <protection/>
    </xf>
    <xf numFmtId="2" fontId="40" fillId="0" borderId="10" xfId="64" applyNumberFormat="1" applyFont="1" applyFill="1" applyBorder="1" applyAlignment="1" applyProtection="1">
      <alignment horizontal="center" vertical="center" wrapText="1"/>
      <protection/>
    </xf>
    <xf numFmtId="4" fontId="40" fillId="2" borderId="10" xfId="64" applyNumberFormat="1" applyFont="1" applyFill="1" applyBorder="1" applyAlignment="1" applyProtection="1">
      <alignment horizontal="center" vertical="center" wrapText="1"/>
      <protection locked="0"/>
    </xf>
    <xf numFmtId="1" fontId="40" fillId="2" borderId="10" xfId="64" applyNumberFormat="1" applyFont="1" applyFill="1" applyBorder="1" applyAlignment="1" applyProtection="1">
      <alignment horizontal="center" vertical="center" wrapText="1"/>
      <protection/>
    </xf>
    <xf numFmtId="1" fontId="40" fillId="0" borderId="10" xfId="64" applyNumberFormat="1" applyFont="1" applyFill="1" applyBorder="1" applyAlignment="1" applyProtection="1">
      <alignment horizontal="center" vertical="center" wrapText="1"/>
      <protection/>
    </xf>
    <xf numFmtId="4" fontId="40" fillId="21" borderId="10" xfId="64" applyNumberFormat="1" applyFont="1" applyFill="1" applyBorder="1" applyAlignment="1" applyProtection="1">
      <alignment horizontal="center" vertical="center"/>
      <protection locked="0"/>
    </xf>
    <xf numFmtId="49" fontId="40" fillId="21" borderId="10" xfId="64" applyNumberFormat="1" applyFont="1" applyFill="1" applyBorder="1" applyAlignment="1" applyProtection="1">
      <alignment horizontal="center" vertical="center"/>
      <protection locked="0"/>
    </xf>
    <xf numFmtId="0" fontId="39" fillId="0" borderId="10" xfId="0" applyFont="1" applyFill="1" applyBorder="1" applyAlignment="1">
      <alignment horizontal="left" vertical="center" wrapText="1"/>
    </xf>
    <xf numFmtId="0" fontId="39" fillId="2" borderId="10" xfId="64" applyFont="1" applyFill="1" applyBorder="1" applyAlignment="1" applyProtection="1">
      <alignment horizontal="left" vertical="center" wrapText="1"/>
      <protection/>
    </xf>
    <xf numFmtId="0" fontId="40" fillId="0" borderId="10" xfId="64" applyFont="1" applyFill="1" applyBorder="1" applyAlignment="1">
      <alignment horizontal="center" vertical="center"/>
      <protection/>
    </xf>
    <xf numFmtId="0" fontId="44" fillId="21" borderId="10" xfId="64" applyFont="1" applyFill="1" applyBorder="1" applyAlignment="1" applyProtection="1">
      <alignment horizontal="center" vertical="center" wrapText="1"/>
      <protection/>
    </xf>
    <xf numFmtId="4" fontId="44" fillId="21" borderId="10" xfId="64" applyNumberFormat="1" applyFont="1" applyFill="1" applyBorder="1" applyAlignment="1" applyProtection="1">
      <alignment horizontal="center" vertical="center"/>
      <protection/>
    </xf>
    <xf numFmtId="0" fontId="31" fillId="21" borderId="10" xfId="64" applyFont="1" applyFill="1" applyBorder="1" applyAlignment="1" applyProtection="1">
      <alignment horizontal="center" vertical="center" wrapText="1"/>
      <protection/>
    </xf>
    <xf numFmtId="4" fontId="31" fillId="21" borderId="10" xfId="64" applyNumberFormat="1" applyFont="1" applyFill="1" applyBorder="1" applyAlignment="1" applyProtection="1">
      <alignment horizontal="center" vertical="center"/>
      <protection/>
    </xf>
    <xf numFmtId="4" fontId="31" fillId="21" borderId="10" xfId="64" applyNumberFormat="1" applyFont="1" applyFill="1" applyBorder="1" applyAlignment="1" applyProtection="1">
      <alignment horizontal="center" vertical="center"/>
      <protection locked="0"/>
    </xf>
    <xf numFmtId="2" fontId="40" fillId="21" borderId="10" xfId="64" applyNumberFormat="1" applyFont="1" applyFill="1" applyBorder="1" applyAlignment="1" applyProtection="1">
      <alignment horizontal="center" vertical="center" wrapText="1"/>
      <protection/>
    </xf>
    <xf numFmtId="2" fontId="31" fillId="21" borderId="10" xfId="64" applyNumberFormat="1" applyFont="1" applyFill="1" applyBorder="1" applyAlignment="1" applyProtection="1">
      <alignment horizontal="center" vertical="center" wrapText="1"/>
      <protection/>
    </xf>
    <xf numFmtId="192" fontId="44" fillId="21" borderId="10" xfId="64" applyNumberFormat="1" applyFont="1" applyFill="1" applyBorder="1" applyAlignment="1" applyProtection="1">
      <alignment horizontal="center" vertical="center"/>
      <protection/>
    </xf>
    <xf numFmtId="192" fontId="31" fillId="21" borderId="10" xfId="64" applyNumberFormat="1" applyFont="1" applyFill="1" applyBorder="1" applyAlignment="1" applyProtection="1">
      <alignment horizontal="center" vertical="center"/>
      <protection locked="0"/>
    </xf>
    <xf numFmtId="2" fontId="40" fillId="21" borderId="10" xfId="38" applyNumberFormat="1" applyFont="1" applyFill="1" applyBorder="1" applyAlignment="1">
      <alignment horizontal="center" vertical="center"/>
      <protection/>
    </xf>
    <xf numFmtId="192" fontId="40" fillId="21" borderId="10" xfId="64" applyNumberFormat="1" applyFont="1" applyFill="1" applyBorder="1" applyAlignment="1" applyProtection="1">
      <alignment horizontal="center" vertical="center"/>
      <protection locked="0"/>
    </xf>
    <xf numFmtId="185" fontId="40" fillId="21" borderId="10" xfId="38" applyNumberFormat="1" applyFont="1" applyFill="1" applyBorder="1" applyAlignment="1">
      <alignment horizontal="center" vertical="center"/>
      <protection/>
    </xf>
    <xf numFmtId="2" fontId="42" fillId="21" borderId="10" xfId="64" applyNumberFormat="1" applyFont="1" applyFill="1" applyBorder="1" applyAlignment="1" applyProtection="1">
      <alignment horizontal="center" vertical="center" wrapText="1"/>
      <protection/>
    </xf>
    <xf numFmtId="4" fontId="44" fillId="21" borderId="10" xfId="64" applyNumberFormat="1" applyFont="1" applyFill="1" applyBorder="1" applyAlignment="1" applyProtection="1">
      <alignment horizontal="center" vertical="center"/>
      <protection locked="0"/>
    </xf>
    <xf numFmtId="2" fontId="42" fillId="21" borderId="10" xfId="38" applyNumberFormat="1" applyFont="1" applyFill="1" applyBorder="1" applyAlignment="1">
      <alignment horizontal="center" vertical="center"/>
      <protection/>
    </xf>
    <xf numFmtId="2" fontId="31" fillId="21" borderId="10" xfId="35" applyNumberFormat="1" applyFont="1" applyFill="1" applyBorder="1" applyAlignment="1">
      <alignment horizontal="center" vertical="center"/>
      <protection/>
    </xf>
    <xf numFmtId="0" fontId="31" fillId="21" borderId="10" xfId="64" applyFont="1" applyFill="1" applyBorder="1" applyAlignment="1" applyProtection="1">
      <alignment horizontal="center" vertical="center"/>
      <protection/>
    </xf>
    <xf numFmtId="0" fontId="40" fillId="21" borderId="10" xfId="64" applyFont="1" applyFill="1" applyBorder="1" applyAlignment="1" applyProtection="1">
      <alignment horizontal="center" vertical="center" wrapText="1"/>
      <protection/>
    </xf>
    <xf numFmtId="2" fontId="42" fillId="21" borderId="10" xfId="64" applyNumberFormat="1" applyFont="1" applyFill="1" applyBorder="1" applyAlignment="1" applyProtection="1">
      <alignment horizontal="center" vertical="center" wrapText="1"/>
      <protection/>
    </xf>
    <xf numFmtId="4" fontId="42" fillId="21" borderId="10" xfId="64" applyNumberFormat="1" applyFont="1" applyFill="1" applyBorder="1" applyAlignment="1" applyProtection="1">
      <alignment horizontal="center" vertical="center"/>
      <protection locked="0"/>
    </xf>
    <xf numFmtId="2" fontId="40" fillId="21" borderId="10" xfId="39" applyNumberFormat="1" applyFont="1" applyFill="1" applyBorder="1" applyAlignment="1">
      <alignment horizontal="center" vertical="center"/>
      <protection/>
    </xf>
    <xf numFmtId="4" fontId="39" fillId="21" borderId="10" xfId="64" applyNumberFormat="1" applyFont="1" applyFill="1" applyBorder="1" applyAlignment="1" applyProtection="1">
      <alignment horizontal="center" vertical="center"/>
      <protection locked="0"/>
    </xf>
    <xf numFmtId="49" fontId="40" fillId="21" borderId="10" xfId="0" applyNumberFormat="1" applyFont="1" applyFill="1" applyBorder="1" applyAlignment="1">
      <alignment horizontal="center" vertical="center"/>
    </xf>
    <xf numFmtId="49" fontId="40" fillId="21" borderId="10" xfId="64" applyNumberFormat="1" applyFont="1" applyFill="1" applyBorder="1" applyAlignment="1" applyProtection="1">
      <alignment horizontal="center" vertical="center"/>
      <protection/>
    </xf>
    <xf numFmtId="49" fontId="40" fillId="21" borderId="10" xfId="64" applyNumberFormat="1" applyFont="1" applyFill="1" applyBorder="1" applyProtection="1">
      <alignment/>
      <protection/>
    </xf>
    <xf numFmtId="4" fontId="44" fillId="21" borderId="10" xfId="35" applyNumberFormat="1" applyFont="1" applyFill="1" applyBorder="1" applyAlignment="1" applyProtection="1">
      <alignment horizontal="center" vertical="center"/>
      <protection locked="0"/>
    </xf>
    <xf numFmtId="1" fontId="40" fillId="21" borderId="10" xfId="35" applyNumberFormat="1" applyFont="1" applyFill="1" applyBorder="1" applyAlignment="1" applyProtection="1">
      <alignment horizontal="center" vertical="center" wrapText="1"/>
      <protection locked="0"/>
    </xf>
    <xf numFmtId="0" fontId="40" fillId="21" borderId="10" xfId="35" applyFont="1" applyFill="1" applyBorder="1" applyAlignment="1" applyProtection="1">
      <alignment horizontal="center" vertical="center" wrapText="1"/>
      <protection/>
    </xf>
    <xf numFmtId="0" fontId="40" fillId="21" borderId="10" xfId="35" applyFont="1" applyFill="1" applyBorder="1" applyAlignment="1" applyProtection="1">
      <alignment horizontal="center" vertical="center" wrapText="1"/>
      <protection locked="0"/>
    </xf>
    <xf numFmtId="49" fontId="13" fillId="21" borderId="19" xfId="38" applyNumberFormat="1" applyFont="1" applyFill="1" applyBorder="1" applyAlignment="1">
      <alignment horizontal="center" vertical="center" wrapText="1"/>
      <protection/>
    </xf>
    <xf numFmtId="0" fontId="13" fillId="21" borderId="17" xfId="38" applyFont="1" applyFill="1" applyBorder="1" applyAlignment="1">
      <alignment horizontal="center" vertical="center" wrapText="1"/>
      <protection/>
    </xf>
    <xf numFmtId="0" fontId="13" fillId="21" borderId="22" xfId="38" applyFont="1" applyFill="1" applyBorder="1" applyAlignment="1">
      <alignment horizontal="center" vertical="center" wrapText="1"/>
      <protection/>
    </xf>
    <xf numFmtId="0" fontId="13" fillId="21" borderId="19" xfId="38" applyFont="1" applyFill="1" applyBorder="1" applyAlignment="1">
      <alignment horizontal="center" vertical="center" wrapText="1"/>
      <protection/>
    </xf>
    <xf numFmtId="1" fontId="13" fillId="21" borderId="25" xfId="38" applyNumberFormat="1" applyFont="1" applyFill="1" applyBorder="1" applyAlignment="1">
      <alignment horizontal="center" vertical="center" wrapText="1"/>
      <protection/>
    </xf>
    <xf numFmtId="1" fontId="13" fillId="21" borderId="19" xfId="38" applyNumberFormat="1" applyFont="1" applyFill="1" applyBorder="1" applyAlignment="1">
      <alignment horizontal="center" vertical="center" wrapText="1"/>
      <protection/>
    </xf>
    <xf numFmtId="1" fontId="13" fillId="21" borderId="17" xfId="38" applyNumberFormat="1" applyFont="1" applyFill="1" applyBorder="1" applyAlignment="1">
      <alignment horizontal="center" vertical="center" wrapText="1"/>
      <protection/>
    </xf>
    <xf numFmtId="0" fontId="37" fillId="21" borderId="12" xfId="38" applyFont="1" applyFill="1" applyBorder="1" applyAlignment="1">
      <alignment/>
      <protection/>
    </xf>
    <xf numFmtId="0" fontId="37" fillId="21" borderId="10" xfId="38" applyFont="1" applyFill="1" applyBorder="1" applyAlignment="1">
      <alignment/>
      <protection/>
    </xf>
    <xf numFmtId="0" fontId="37" fillId="21" borderId="14" xfId="38" applyFont="1" applyFill="1" applyBorder="1" applyAlignment="1">
      <alignment/>
      <protection/>
    </xf>
    <xf numFmtId="2" fontId="37" fillId="21" borderId="13" xfId="38" applyNumberFormat="1" applyFont="1" applyFill="1" applyBorder="1" applyAlignment="1">
      <alignment/>
      <protection/>
    </xf>
    <xf numFmtId="2" fontId="37" fillId="21" borderId="12" xfId="38" applyNumberFormat="1" applyFont="1" applyFill="1" applyBorder="1" applyAlignment="1">
      <alignment/>
      <protection/>
    </xf>
    <xf numFmtId="2" fontId="37" fillId="21" borderId="10" xfId="38" applyNumberFormat="1" applyFont="1" applyFill="1" applyBorder="1" applyAlignment="1">
      <alignment/>
      <protection/>
    </xf>
    <xf numFmtId="49" fontId="40" fillId="0" borderId="10" xfId="64" applyNumberFormat="1" applyFont="1" applyFill="1" applyBorder="1" applyAlignment="1">
      <alignment horizontal="center" vertical="center" wrapText="1"/>
      <protection/>
    </xf>
    <xf numFmtId="3" fontId="40" fillId="0" borderId="10" xfId="35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35" applyFont="1" applyFill="1" applyBorder="1" applyAlignment="1" applyProtection="1">
      <alignment vertical="center" wrapText="1"/>
      <protection/>
    </xf>
    <xf numFmtId="0" fontId="10" fillId="0" borderId="0" xfId="35" applyFont="1" applyBorder="1" applyAlignment="1" applyProtection="1">
      <alignment horizontal="center" vertical="center" wrapText="1"/>
      <protection/>
    </xf>
    <xf numFmtId="0" fontId="10" fillId="0" borderId="10" xfId="64" applyFont="1" applyFill="1" applyBorder="1" applyAlignment="1">
      <alignment horizontal="center" vertical="center"/>
      <protection/>
    </xf>
    <xf numFmtId="4" fontId="40" fillId="0" borderId="10" xfId="64" applyNumberFormat="1" applyFont="1" applyFill="1" applyBorder="1" applyAlignment="1">
      <alignment horizontal="center" vertical="center"/>
      <protection/>
    </xf>
    <xf numFmtId="4" fontId="40" fillId="0" borderId="10" xfId="37" applyNumberFormat="1" applyFont="1" applyBorder="1" applyAlignment="1">
      <alignment horizontal="center" wrapText="1"/>
      <protection/>
    </xf>
    <xf numFmtId="4" fontId="40" fillId="0" borderId="10" xfId="37" applyNumberFormat="1" applyFont="1" applyBorder="1" applyAlignment="1">
      <alignment horizontal="center"/>
      <protection/>
    </xf>
    <xf numFmtId="3" fontId="40" fillId="0" borderId="17" xfId="37" applyNumberFormat="1" applyFont="1" applyBorder="1" applyAlignment="1">
      <alignment horizontal="center"/>
      <protection/>
    </xf>
    <xf numFmtId="2" fontId="13" fillId="0" borderId="0" xfId="38" applyNumberFormat="1" applyFont="1" applyFill="1" applyBorder="1" applyAlignment="1">
      <alignment horizontal="left" vertical="center"/>
      <protection/>
    </xf>
    <xf numFmtId="49" fontId="0" fillId="0" borderId="0" xfId="38" applyNumberFormat="1" applyFont="1" applyFill="1" applyAlignment="1">
      <alignment horizontal="center" vertical="center" wrapText="1"/>
      <protection/>
    </xf>
    <xf numFmtId="0" fontId="0" fillId="0" borderId="0" xfId="38" applyFont="1" applyAlignment="1">
      <alignment horizontal="center" vertical="center" wrapText="1"/>
      <protection/>
    </xf>
    <xf numFmtId="0" fontId="0" fillId="0" borderId="0" xfId="38" applyFont="1" applyAlignment="1">
      <alignment horizontal="right" vertical="center" wrapText="1"/>
      <protection/>
    </xf>
    <xf numFmtId="0" fontId="0" fillId="0" borderId="0" xfId="38" applyFont="1" applyFill="1" applyAlignment="1">
      <alignment horizontal="center" vertical="center" wrapText="1"/>
      <protection/>
    </xf>
    <xf numFmtId="2" fontId="0" fillId="0" borderId="0" xfId="38" applyNumberFormat="1" applyFont="1" applyAlignment="1">
      <alignment horizontal="right" vertical="center" wrapText="1"/>
      <protection/>
    </xf>
    <xf numFmtId="0" fontId="0" fillId="0" borderId="0" xfId="38" applyFont="1" applyFill="1" applyBorder="1" applyAlignment="1">
      <alignment horizontal="center" vertical="center" wrapText="1"/>
      <protection/>
    </xf>
    <xf numFmtId="2" fontId="13" fillId="0" borderId="13" xfId="0" applyNumberFormat="1" applyFont="1" applyFill="1" applyBorder="1" applyAlignment="1">
      <alignment horizontal="right" vertical="center"/>
    </xf>
    <xf numFmtId="2" fontId="13" fillId="0" borderId="10" xfId="0" applyNumberFormat="1" applyFont="1" applyFill="1" applyBorder="1" applyAlignment="1">
      <alignment horizontal="right" vertical="center"/>
    </xf>
    <xf numFmtId="49" fontId="35" fillId="0" borderId="12" xfId="0" applyNumberFormat="1" applyFont="1" applyFill="1" applyBorder="1" applyAlignment="1">
      <alignment horizontal="left" vertical="center"/>
    </xf>
    <xf numFmtId="49" fontId="13" fillId="0" borderId="12" xfId="0" applyNumberFormat="1" applyFont="1" applyFill="1" applyBorder="1" applyAlignment="1">
      <alignment horizontal="left" vertical="center"/>
    </xf>
    <xf numFmtId="0" fontId="7" fillId="0" borderId="0" xfId="64" applyFont="1" applyFill="1">
      <alignment/>
      <protection/>
    </xf>
    <xf numFmtId="2" fontId="13" fillId="0" borderId="12" xfId="74" applyNumberFormat="1" applyFont="1" applyFill="1" applyBorder="1" applyAlignment="1">
      <alignment vertical="center"/>
      <protection/>
    </xf>
    <xf numFmtId="2" fontId="13" fillId="21" borderId="12" xfId="74" applyNumberFormat="1" applyFont="1" applyFill="1" applyBorder="1" applyAlignment="1">
      <alignment vertical="center"/>
      <protection/>
    </xf>
    <xf numFmtId="2" fontId="8" fillId="0" borderId="0" xfId="38" applyNumberFormat="1" applyFont="1" applyAlignment="1">
      <alignment horizontal="right"/>
      <protection/>
    </xf>
    <xf numFmtId="2" fontId="8" fillId="0" borderId="0" xfId="38" applyNumberFormat="1" applyFont="1" applyAlignment="1">
      <alignment horizontal="center"/>
      <protection/>
    </xf>
    <xf numFmtId="2" fontId="13" fillId="0" borderId="0" xfId="64" applyNumberFormat="1" applyFont="1" applyAlignment="1">
      <alignment horizontal="center"/>
      <protection/>
    </xf>
    <xf numFmtId="2" fontId="13" fillId="0" borderId="0" xfId="64" applyNumberFormat="1" applyFont="1" applyAlignment="1">
      <alignment horizontal="left" vertical="top"/>
      <protection/>
    </xf>
    <xf numFmtId="2" fontId="13" fillId="21" borderId="12" xfId="39" applyNumberFormat="1" applyFont="1" applyFill="1" applyBorder="1" applyAlignment="1">
      <alignment vertical="center"/>
      <protection/>
    </xf>
    <xf numFmtId="2" fontId="13" fillId="21" borderId="10" xfId="39" applyNumberFormat="1" applyFont="1" applyFill="1" applyBorder="1" applyAlignment="1">
      <alignment horizontal="right" vertical="center"/>
      <protection/>
    </xf>
    <xf numFmtId="2" fontId="13" fillId="21" borderId="13" xfId="39" applyNumberFormat="1" applyFont="1" applyFill="1" applyBorder="1" applyAlignment="1">
      <alignment horizontal="right" vertical="center"/>
      <protection/>
    </xf>
    <xf numFmtId="0" fontId="13" fillId="21" borderId="10" xfId="74" applyFont="1" applyFill="1" applyBorder="1" applyAlignment="1">
      <alignment horizontal="left" vertical="center" wrapText="1"/>
      <protection/>
    </xf>
    <xf numFmtId="49" fontId="13" fillId="21" borderId="12" xfId="39" applyNumberFormat="1" applyFont="1" applyFill="1" applyBorder="1" applyAlignment="1" applyProtection="1">
      <alignment horizontal="left" vertical="center"/>
      <protection/>
    </xf>
    <xf numFmtId="0" fontId="13" fillId="21" borderId="10" xfId="35" applyFont="1" applyFill="1" applyBorder="1" applyAlignment="1">
      <alignment horizontal="left" vertical="center" wrapText="1"/>
      <protection/>
    </xf>
    <xf numFmtId="0" fontId="13" fillId="21" borderId="14" xfId="35" applyFont="1" applyFill="1" applyBorder="1" applyAlignment="1">
      <alignment horizontal="center" vertical="center" wrapText="1"/>
      <protection/>
    </xf>
    <xf numFmtId="2" fontId="13" fillId="21" borderId="12" xfId="35" applyNumberFormat="1" applyFont="1" applyFill="1" applyBorder="1" applyAlignment="1">
      <alignment horizontal="right" vertical="center"/>
      <protection/>
    </xf>
    <xf numFmtId="2" fontId="13" fillId="21" borderId="10" xfId="35" applyNumberFormat="1" applyFont="1" applyFill="1" applyBorder="1" applyAlignment="1">
      <alignment horizontal="right" vertical="center"/>
      <protection/>
    </xf>
    <xf numFmtId="2" fontId="13" fillId="21" borderId="12" xfId="39" applyNumberFormat="1" applyFont="1" applyFill="1" applyBorder="1" applyAlignment="1">
      <alignment horizontal="right" vertical="center"/>
      <protection/>
    </xf>
    <xf numFmtId="0" fontId="4" fillId="21" borderId="0" xfId="38" applyNumberFormat="1" applyFont="1" applyFill="1" applyBorder="1" applyAlignment="1" applyProtection="1">
      <alignment vertical="top"/>
      <protection/>
    </xf>
    <xf numFmtId="2" fontId="13" fillId="21" borderId="12" xfId="35" applyNumberFormat="1" applyFont="1" applyFill="1" applyBorder="1" applyAlignment="1">
      <alignment vertical="center"/>
      <protection/>
    </xf>
    <xf numFmtId="2" fontId="13" fillId="21" borderId="13" xfId="35" applyNumberFormat="1" applyFont="1" applyFill="1" applyBorder="1" applyAlignment="1">
      <alignment horizontal="right" vertical="center"/>
      <protection/>
    </xf>
    <xf numFmtId="2" fontId="13" fillId="21" borderId="13" xfId="39" applyNumberFormat="1" applyFont="1" applyFill="1" applyBorder="1" applyAlignment="1">
      <alignment vertical="center" wrapText="1"/>
      <protection/>
    </xf>
    <xf numFmtId="2" fontId="13" fillId="2" borderId="12" xfId="38" applyNumberFormat="1" applyFont="1" applyFill="1" applyBorder="1" applyAlignment="1">
      <alignment horizontal="right" vertical="center"/>
      <protection/>
    </xf>
    <xf numFmtId="2" fontId="13" fillId="9" borderId="16" xfId="38" applyNumberFormat="1" applyFont="1" applyFill="1" applyBorder="1" applyAlignment="1">
      <alignment horizontal="right" vertical="center"/>
      <protection/>
    </xf>
    <xf numFmtId="2" fontId="13" fillId="0" borderId="12" xfId="38" applyNumberFormat="1" applyFont="1" applyFill="1" applyBorder="1" applyAlignment="1">
      <alignment horizontal="right"/>
      <protection/>
    </xf>
    <xf numFmtId="2" fontId="13" fillId="22" borderId="12" xfId="39" applyNumberFormat="1" applyFont="1" applyFill="1" applyBorder="1" applyAlignment="1" applyProtection="1">
      <alignment horizontal="right" vertical="center"/>
      <protection locked="0"/>
    </xf>
    <xf numFmtId="2" fontId="13" fillId="20" borderId="12" xfId="39" applyNumberFormat="1" applyFont="1" applyFill="1" applyBorder="1" applyAlignment="1" applyProtection="1">
      <alignment horizontal="right" vertical="center"/>
      <protection/>
    </xf>
    <xf numFmtId="2" fontId="13" fillId="20" borderId="12" xfId="39" applyNumberFormat="1" applyFont="1" applyFill="1" applyBorder="1" applyAlignment="1">
      <alignment horizontal="right" vertical="center"/>
      <protection/>
    </xf>
    <xf numFmtId="2" fontId="13" fillId="19" borderId="12" xfId="39" applyNumberFormat="1" applyFont="1" applyFill="1" applyBorder="1" applyAlignment="1" applyProtection="1">
      <alignment horizontal="right" vertical="center"/>
      <protection/>
    </xf>
    <xf numFmtId="2" fontId="13" fillId="18" borderId="12" xfId="39" applyNumberFormat="1" applyFont="1" applyFill="1" applyBorder="1" applyAlignment="1">
      <alignment horizontal="right" vertical="center"/>
      <protection/>
    </xf>
    <xf numFmtId="2" fontId="13" fillId="0" borderId="12" xfId="38" applyNumberFormat="1" applyFont="1" applyFill="1" applyBorder="1" applyAlignment="1">
      <alignment vertical="center"/>
      <protection/>
    </xf>
    <xf numFmtId="2" fontId="13" fillId="0" borderId="12" xfId="38" applyNumberFormat="1" applyFont="1" applyFill="1" applyBorder="1" applyAlignment="1" applyProtection="1">
      <alignment horizontal="right" vertical="center"/>
      <protection/>
    </xf>
    <xf numFmtId="2" fontId="13" fillId="18" borderId="18" xfId="39" applyNumberFormat="1" applyFont="1" applyFill="1" applyBorder="1" applyAlignment="1">
      <alignment horizontal="right" vertical="center"/>
      <protection/>
    </xf>
    <xf numFmtId="2" fontId="13" fillId="19" borderId="12" xfId="39" applyNumberFormat="1" applyFont="1" applyFill="1" applyBorder="1" applyAlignment="1">
      <alignment horizontal="right" vertical="center"/>
      <protection/>
    </xf>
    <xf numFmtId="2" fontId="13" fillId="2" borderId="12" xfId="38" applyNumberFormat="1" applyFont="1" applyFill="1" applyBorder="1" applyAlignment="1" applyProtection="1">
      <alignment horizontal="right" vertical="center"/>
      <protection/>
    </xf>
    <xf numFmtId="0" fontId="13" fillId="0" borderId="10" xfId="39" applyFont="1" applyFill="1" applyBorder="1" applyAlignment="1">
      <alignment horizontal="right" vertical="center"/>
      <protection/>
    </xf>
    <xf numFmtId="0" fontId="13" fillId="0" borderId="10" xfId="38" applyFont="1" applyFill="1" applyBorder="1" applyAlignment="1">
      <alignment horizontal="right" vertical="center"/>
      <protection/>
    </xf>
    <xf numFmtId="185" fontId="13" fillId="2" borderId="10" xfId="38" applyNumberFormat="1" applyFont="1" applyFill="1" applyBorder="1" applyAlignment="1">
      <alignment vertical="center"/>
      <protection/>
    </xf>
    <xf numFmtId="2" fontId="13" fillId="0" borderId="10" xfId="38" applyNumberFormat="1" applyFont="1" applyFill="1" applyBorder="1" applyAlignment="1">
      <alignment horizontal="center" vertical="center"/>
      <protection/>
    </xf>
    <xf numFmtId="2" fontId="35" fillId="21" borderId="10" xfId="39" applyNumberFormat="1" applyFont="1" applyFill="1" applyBorder="1" applyAlignment="1">
      <alignment horizontal="right" vertical="center"/>
      <protection/>
    </xf>
    <xf numFmtId="0" fontId="13" fillId="0" borderId="12" xfId="39" applyFont="1" applyFill="1" applyBorder="1" applyAlignment="1">
      <alignment horizontal="right" vertical="center"/>
      <protection/>
    </xf>
    <xf numFmtId="0" fontId="13" fillId="0" borderId="12" xfId="38" applyFont="1" applyFill="1" applyBorder="1" applyAlignment="1">
      <alignment horizontal="right" vertical="center"/>
      <protection/>
    </xf>
    <xf numFmtId="2" fontId="37" fillId="19" borderId="12" xfId="39" applyNumberFormat="1" applyFont="1" applyFill="1" applyBorder="1" applyAlignment="1">
      <alignment horizontal="right" vertical="center"/>
      <protection/>
    </xf>
    <xf numFmtId="2" fontId="13" fillId="2" borderId="12" xfId="38" applyNumberFormat="1" applyFont="1" applyFill="1" applyBorder="1" applyAlignment="1">
      <alignment horizontal="center" vertical="center"/>
      <protection/>
    </xf>
    <xf numFmtId="2" fontId="13" fillId="2" borderId="10" xfId="38" applyNumberFormat="1" applyFont="1" applyFill="1" applyBorder="1" applyAlignment="1">
      <alignment horizontal="center" vertical="center"/>
      <protection/>
    </xf>
    <xf numFmtId="2" fontId="37" fillId="18" borderId="18" xfId="39" applyNumberFormat="1" applyFont="1" applyFill="1" applyBorder="1" applyAlignment="1">
      <alignment horizontal="right" vertical="center"/>
      <protection/>
    </xf>
    <xf numFmtId="2" fontId="13" fillId="9" borderId="19" xfId="38" applyNumberFormat="1" applyFont="1" applyFill="1" applyBorder="1" applyAlignment="1">
      <alignment vertical="center"/>
      <protection/>
    </xf>
    <xf numFmtId="2" fontId="13" fillId="9" borderId="17" xfId="38" applyNumberFormat="1" applyFont="1" applyFill="1" applyBorder="1" applyAlignment="1">
      <alignment vertical="center"/>
      <protection/>
    </xf>
    <xf numFmtId="2" fontId="13" fillId="20" borderId="12" xfId="38" applyNumberFormat="1" applyFont="1" applyFill="1" applyBorder="1" applyAlignment="1">
      <alignment horizontal="right" vertical="center"/>
      <protection/>
    </xf>
    <xf numFmtId="2" fontId="13" fillId="20" borderId="10" xfId="38" applyNumberFormat="1" applyFont="1" applyFill="1" applyBorder="1" applyAlignment="1">
      <alignment horizontal="right" vertical="center" wrapText="1"/>
      <protection/>
    </xf>
    <xf numFmtId="2" fontId="13" fillId="18" borderId="12" xfId="38" applyNumberFormat="1" applyFont="1" applyFill="1" applyBorder="1" applyAlignment="1">
      <alignment horizontal="right" vertical="center"/>
      <protection/>
    </xf>
    <xf numFmtId="2" fontId="13" fillId="18" borderId="10" xfId="38" applyNumberFormat="1" applyFont="1" applyFill="1" applyBorder="1" applyAlignment="1">
      <alignment horizontal="right" vertical="center" wrapText="1"/>
      <protection/>
    </xf>
    <xf numFmtId="2" fontId="13" fillId="18" borderId="10" xfId="38" applyNumberFormat="1" applyFont="1" applyFill="1" applyBorder="1" applyAlignment="1">
      <alignment horizontal="right" vertical="center"/>
      <protection/>
    </xf>
    <xf numFmtId="2" fontId="13" fillId="9" borderId="19" xfId="38" applyNumberFormat="1" applyFont="1" applyFill="1" applyBorder="1" applyAlignment="1">
      <alignment horizontal="right" vertical="center"/>
      <protection/>
    </xf>
    <xf numFmtId="2" fontId="13" fillId="9" borderId="17" xfId="38" applyNumberFormat="1" applyFont="1" applyFill="1" applyBorder="1" applyAlignment="1">
      <alignment horizontal="right" vertical="center"/>
      <protection/>
    </xf>
    <xf numFmtId="2" fontId="13" fillId="0" borderId="10" xfId="38" applyNumberFormat="1" applyFont="1" applyFill="1" applyBorder="1" applyAlignment="1">
      <alignment horizontal="right"/>
      <protection/>
    </xf>
    <xf numFmtId="2" fontId="35" fillId="0" borderId="10" xfId="38" applyNumberFormat="1" applyFont="1" applyFill="1" applyBorder="1" applyAlignment="1">
      <alignment horizontal="right"/>
      <protection/>
    </xf>
    <xf numFmtId="1" fontId="13" fillId="0" borderId="10" xfId="38" applyNumberFormat="1" applyFont="1" applyFill="1" applyBorder="1" applyAlignment="1">
      <alignment horizontal="right" vertical="center"/>
      <protection/>
    </xf>
    <xf numFmtId="2" fontId="13" fillId="22" borderId="10" xfId="39" applyNumberFormat="1" applyFont="1" applyFill="1" applyBorder="1" applyAlignment="1" applyProtection="1">
      <alignment horizontal="right" vertical="center"/>
      <protection locked="0"/>
    </xf>
    <xf numFmtId="2" fontId="35" fillId="22" borderId="10" xfId="39" applyNumberFormat="1" applyFont="1" applyFill="1" applyBorder="1" applyAlignment="1" applyProtection="1">
      <alignment horizontal="right" vertical="center"/>
      <protection locked="0"/>
    </xf>
    <xf numFmtId="2" fontId="13" fillId="0" borderId="10" xfId="38" applyNumberFormat="1" applyFont="1" applyFill="1" applyBorder="1" applyAlignment="1">
      <alignment vertical="center"/>
      <protection/>
    </xf>
    <xf numFmtId="2" fontId="13" fillId="0" borderId="10" xfId="38" applyNumberFormat="1" applyFont="1" applyFill="1" applyBorder="1" applyAlignment="1" applyProtection="1">
      <alignment horizontal="right" vertical="center"/>
      <protection/>
    </xf>
    <xf numFmtId="2" fontId="13" fillId="0" borderId="11" xfId="38" applyNumberFormat="1" applyFont="1" applyFill="1" applyBorder="1" applyAlignment="1" applyProtection="1">
      <alignment horizontal="right" vertical="center"/>
      <protection/>
    </xf>
    <xf numFmtId="2" fontId="13" fillId="0" borderId="11" xfId="38" applyNumberFormat="1" applyFont="1" applyFill="1" applyBorder="1" applyAlignment="1">
      <alignment horizontal="right" vertical="center"/>
      <protection/>
    </xf>
    <xf numFmtId="0" fontId="13" fillId="0" borderId="0" xfId="38" applyFont="1" applyFill="1" applyAlignment="1">
      <alignment horizontal="right" vertical="center" wrapText="1"/>
      <protection/>
    </xf>
    <xf numFmtId="10" fontId="13" fillId="0" borderId="0" xfId="38" applyNumberFormat="1" applyFont="1" applyFill="1" applyAlignment="1">
      <alignment horizontal="right" vertical="center" wrapText="1"/>
      <protection/>
    </xf>
    <xf numFmtId="191" fontId="13" fillId="0" borderId="0" xfId="38" applyNumberFormat="1" applyFont="1" applyFill="1" applyAlignment="1">
      <alignment horizontal="right" vertical="center" wrapText="1"/>
      <protection/>
    </xf>
    <xf numFmtId="0" fontId="36" fillId="0" borderId="0" xfId="64" applyFont="1" applyAlignment="1">
      <alignment horizontal="left"/>
      <protection/>
    </xf>
    <xf numFmtId="2" fontId="13" fillId="0" borderId="0" xfId="64" applyNumberFormat="1" applyFont="1" applyAlignment="1">
      <alignment horizontal="right"/>
      <protection/>
    </xf>
    <xf numFmtId="2" fontId="13" fillId="9" borderId="17" xfId="39" applyNumberFormat="1" applyFont="1" applyFill="1" applyBorder="1" applyAlignment="1">
      <alignment horizontal="right" vertical="center"/>
      <protection/>
    </xf>
    <xf numFmtId="1" fontId="13" fillId="0" borderId="0" xfId="38" applyNumberFormat="1" applyFont="1" applyAlignment="1">
      <alignment horizontal="right" vertical="center" wrapText="1"/>
      <protection/>
    </xf>
    <xf numFmtId="1" fontId="13" fillId="21" borderId="27" xfId="38" applyNumberFormat="1" applyFont="1" applyFill="1" applyBorder="1" applyAlignment="1">
      <alignment horizontal="center" vertical="center" wrapText="1"/>
      <protection/>
    </xf>
    <xf numFmtId="2" fontId="13" fillId="2" borderId="13" xfId="38" applyNumberFormat="1" applyFont="1" applyFill="1" applyBorder="1" applyAlignment="1">
      <alignment horizontal="right" vertical="center"/>
      <protection/>
    </xf>
    <xf numFmtId="2" fontId="13" fillId="0" borderId="13" xfId="38" applyNumberFormat="1" applyFont="1" applyFill="1" applyBorder="1" applyAlignment="1">
      <alignment horizontal="center" vertical="center"/>
      <protection/>
    </xf>
    <xf numFmtId="2" fontId="13" fillId="0" borderId="13" xfId="38" applyNumberFormat="1" applyFont="1" applyFill="1" applyBorder="1" applyAlignment="1">
      <alignment vertical="center"/>
      <protection/>
    </xf>
    <xf numFmtId="2" fontId="13" fillId="0" borderId="23" xfId="38" applyNumberFormat="1" applyFont="1" applyFill="1" applyBorder="1" applyAlignment="1">
      <alignment vertical="center"/>
      <protection/>
    </xf>
    <xf numFmtId="0" fontId="37" fillId="21" borderId="13" xfId="38" applyFont="1" applyFill="1" applyBorder="1" applyAlignment="1">
      <alignment/>
      <protection/>
    </xf>
    <xf numFmtId="0" fontId="13" fillId="0" borderId="13" xfId="39" applyFont="1" applyFill="1" applyBorder="1" applyAlignment="1">
      <alignment horizontal="center" vertical="center" textRotation="90"/>
      <protection/>
    </xf>
    <xf numFmtId="0" fontId="13" fillId="0" borderId="13" xfId="38" applyFont="1" applyFill="1" applyBorder="1" applyAlignment="1">
      <alignment horizontal="right" vertical="center"/>
      <protection/>
    </xf>
    <xf numFmtId="2" fontId="13" fillId="9" borderId="25" xfId="38" applyNumberFormat="1" applyFont="1" applyFill="1" applyBorder="1" applyAlignment="1">
      <alignment vertical="center"/>
      <protection/>
    </xf>
    <xf numFmtId="2" fontId="13" fillId="18" borderId="13" xfId="38" applyNumberFormat="1" applyFont="1" applyFill="1" applyBorder="1" applyAlignment="1">
      <alignment horizontal="right" vertical="center"/>
      <protection/>
    </xf>
    <xf numFmtId="2" fontId="13" fillId="9" borderId="25" xfId="38" applyNumberFormat="1" applyFont="1" applyFill="1" applyBorder="1" applyAlignment="1">
      <alignment horizontal="right" vertical="center"/>
      <protection/>
    </xf>
    <xf numFmtId="2" fontId="35" fillId="22" borderId="13" xfId="39" applyNumberFormat="1" applyFont="1" applyFill="1" applyBorder="1" applyAlignment="1" applyProtection="1">
      <alignment horizontal="right" vertical="center"/>
      <protection locked="0"/>
    </xf>
    <xf numFmtId="2" fontId="35" fillId="21" borderId="13" xfId="39" applyNumberFormat="1" applyFont="1" applyFill="1" applyBorder="1" applyAlignment="1">
      <alignment horizontal="right" vertical="center"/>
      <protection/>
    </xf>
    <xf numFmtId="2" fontId="13" fillId="0" borderId="13" xfId="38" applyNumberFormat="1" applyFont="1" applyFill="1" applyBorder="1" applyAlignment="1" applyProtection="1">
      <alignment horizontal="right" vertical="center"/>
      <protection/>
    </xf>
    <xf numFmtId="2" fontId="13" fillId="0" borderId="26" xfId="38" applyNumberFormat="1" applyFont="1" applyFill="1" applyBorder="1" applyAlignment="1">
      <alignment horizontal="right" vertical="center"/>
      <protection/>
    </xf>
    <xf numFmtId="2" fontId="0" fillId="0" borderId="28" xfId="38" applyNumberFormat="1" applyFont="1" applyBorder="1" applyAlignment="1">
      <alignment horizontal="right" vertical="center" wrapText="1"/>
      <protection/>
    </xf>
    <xf numFmtId="2" fontId="13" fillId="19" borderId="10" xfId="39" applyNumberFormat="1" applyFont="1" applyFill="1" applyBorder="1" applyAlignment="1">
      <alignment horizontal="right" vertical="center" wrapText="1"/>
      <protection/>
    </xf>
    <xf numFmtId="2" fontId="13" fillId="20" borderId="10" xfId="39" applyNumberFormat="1" applyFont="1" applyFill="1" applyBorder="1" applyAlignment="1">
      <alignment horizontal="right" vertical="center" wrapText="1"/>
      <protection/>
    </xf>
    <xf numFmtId="2" fontId="13" fillId="0" borderId="10" xfId="35" applyNumberFormat="1" applyFont="1" applyFill="1" applyBorder="1" applyAlignment="1" applyProtection="1">
      <alignment horizontal="right" vertical="center"/>
      <protection/>
    </xf>
    <xf numFmtId="2" fontId="35" fillId="20" borderId="16" xfId="39" applyNumberFormat="1" applyFont="1" applyFill="1" applyBorder="1" applyAlignment="1">
      <alignment vertical="center"/>
      <protection/>
    </xf>
    <xf numFmtId="2" fontId="35" fillId="0" borderId="0" xfId="39" applyNumberFormat="1" applyFont="1" applyFill="1" applyBorder="1" applyAlignment="1">
      <alignment vertical="center"/>
      <protection/>
    </xf>
    <xf numFmtId="2" fontId="13" fillId="0" borderId="0" xfId="63" applyNumberFormat="1" applyFont="1" applyAlignment="1" applyProtection="1">
      <alignment horizontal="left" vertical="top"/>
      <protection hidden="1"/>
    </xf>
    <xf numFmtId="2" fontId="35" fillId="20" borderId="15" xfId="39" applyNumberFormat="1" applyFont="1" applyFill="1" applyBorder="1" applyAlignment="1">
      <alignment vertical="center"/>
      <protection/>
    </xf>
    <xf numFmtId="0" fontId="13" fillId="21" borderId="10" xfId="39" applyFont="1" applyFill="1" applyBorder="1" applyAlignment="1">
      <alignment horizontal="left" vertical="center" wrapText="1"/>
      <protection/>
    </xf>
    <xf numFmtId="4" fontId="13" fillId="0" borderId="17" xfId="0" applyNumberFormat="1" applyFont="1" applyBorder="1" applyAlignment="1">
      <alignment horizontal="center" vertical="center"/>
    </xf>
    <xf numFmtId="2" fontId="13" fillId="21" borderId="13" xfId="38" applyNumberFormat="1" applyFont="1" applyFill="1" applyBorder="1" applyAlignment="1">
      <alignment horizontal="right" vertical="center"/>
      <protection/>
    </xf>
    <xf numFmtId="4" fontId="40" fillId="0" borderId="11" xfId="64" applyNumberFormat="1" applyFont="1" applyFill="1" applyBorder="1" applyAlignment="1">
      <alignment horizontal="center" vertical="center" wrapText="1"/>
      <protection/>
    </xf>
    <xf numFmtId="4" fontId="40" fillId="0" borderId="17" xfId="64" applyNumberFormat="1" applyFont="1" applyFill="1" applyBorder="1" applyAlignment="1">
      <alignment horizontal="center" vertical="center" wrapText="1"/>
      <protection/>
    </xf>
    <xf numFmtId="4" fontId="13" fillId="0" borderId="10" xfId="0" applyNumberFormat="1" applyFont="1" applyBorder="1" applyAlignment="1">
      <alignment horizontal="center" vertical="center"/>
    </xf>
    <xf numFmtId="4" fontId="40" fillId="0" borderId="17" xfId="37" applyNumberFormat="1" applyFont="1" applyBorder="1" applyAlignment="1">
      <alignment horizontal="center"/>
      <protection/>
    </xf>
    <xf numFmtId="4" fontId="40" fillId="0" borderId="17" xfId="37" applyNumberFormat="1" applyFont="1" applyFill="1" applyBorder="1" applyAlignment="1">
      <alignment horizontal="center"/>
      <protection/>
    </xf>
    <xf numFmtId="4" fontId="40" fillId="0" borderId="17" xfId="64" applyNumberFormat="1" applyFont="1" applyBorder="1" applyAlignment="1">
      <alignment horizontal="center"/>
      <protection/>
    </xf>
    <xf numFmtId="0" fontId="10" fillId="7" borderId="0" xfId="64" applyFont="1" applyFill="1">
      <alignment/>
      <protection/>
    </xf>
    <xf numFmtId="4" fontId="40" fillId="23" borderId="10" xfId="40" applyNumberFormat="1" applyFont="1" applyFill="1" applyBorder="1" applyAlignment="1">
      <alignment horizontal="left" wrapText="1"/>
      <protection/>
    </xf>
    <xf numFmtId="1" fontId="40" fillId="23" borderId="10" xfId="40" applyNumberFormat="1" applyFont="1" applyFill="1" applyBorder="1" applyAlignment="1">
      <alignment horizontal="center" wrapText="1"/>
      <protection/>
    </xf>
    <xf numFmtId="4" fontId="40" fillId="23" borderId="10" xfId="64" applyNumberFormat="1" applyFont="1" applyFill="1" applyBorder="1" applyAlignment="1">
      <alignment horizontal="center" wrapText="1"/>
      <protection/>
    </xf>
    <xf numFmtId="4" fontId="40" fillId="23" borderId="10" xfId="40" applyNumberFormat="1" applyFont="1" applyFill="1" applyBorder="1" applyAlignment="1">
      <alignment horizontal="center" wrapText="1"/>
      <protection/>
    </xf>
    <xf numFmtId="4" fontId="40" fillId="23" borderId="10" xfId="40" applyNumberFormat="1" applyFont="1" applyFill="1" applyBorder="1" applyAlignment="1">
      <alignment horizontal="left"/>
      <protection/>
    </xf>
    <xf numFmtId="1" fontId="40" fillId="23" borderId="10" xfId="40" applyNumberFormat="1" applyFont="1" applyFill="1" applyBorder="1" applyAlignment="1">
      <alignment horizontal="center"/>
      <protection/>
    </xf>
    <xf numFmtId="4" fontId="40" fillId="23" borderId="10" xfId="40" applyNumberFormat="1" applyFont="1" applyFill="1" applyBorder="1" applyAlignment="1">
      <alignment horizontal="center"/>
      <protection/>
    </xf>
    <xf numFmtId="4" fontId="40" fillId="23" borderId="26" xfId="64" applyNumberFormat="1" applyFont="1" applyFill="1" applyBorder="1" applyAlignment="1">
      <alignment horizontal="center" vertical="center" wrapText="1"/>
      <protection/>
    </xf>
    <xf numFmtId="4" fontId="40" fillId="23" borderId="14" xfId="40" applyNumberFormat="1" applyFont="1" applyFill="1" applyBorder="1" applyAlignment="1">
      <alignment horizontal="left" wrapText="1"/>
      <protection/>
    </xf>
    <xf numFmtId="4" fontId="40" fillId="23" borderId="10" xfId="64" applyNumberFormat="1" applyFont="1" applyFill="1" applyBorder="1" applyAlignment="1">
      <alignment horizontal="center" vertical="center" wrapText="1"/>
      <protection/>
    </xf>
    <xf numFmtId="4" fontId="40" fillId="23" borderId="14" xfId="40" applyNumberFormat="1" applyFont="1" applyFill="1" applyBorder="1" applyAlignment="1">
      <alignment horizontal="left"/>
      <protection/>
    </xf>
    <xf numFmtId="4" fontId="40" fillId="23" borderId="26" xfId="64" applyNumberFormat="1" applyFont="1" applyFill="1" applyBorder="1" applyAlignment="1">
      <alignment horizontal="center" vertical="center"/>
      <protection/>
    </xf>
    <xf numFmtId="17" fontId="40" fillId="0" borderId="10" xfId="64" applyNumberFormat="1" applyFont="1" applyFill="1" applyBorder="1" applyAlignment="1">
      <alignment horizontal="left" vertical="center"/>
      <protection/>
    </xf>
    <xf numFmtId="4" fontId="40" fillId="23" borderId="17" xfId="64" applyNumberFormat="1" applyFont="1" applyFill="1" applyBorder="1" applyAlignment="1">
      <alignment horizontal="center" vertical="center" wrapText="1"/>
      <protection/>
    </xf>
    <xf numFmtId="4" fontId="31" fillId="23" borderId="14" xfId="40" applyNumberFormat="1" applyFont="1" applyFill="1" applyBorder="1" applyAlignment="1">
      <alignment horizontal="left" wrapText="1"/>
      <protection/>
    </xf>
    <xf numFmtId="1" fontId="31" fillId="23" borderId="10" xfId="40" applyNumberFormat="1" applyFont="1" applyFill="1" applyBorder="1" applyAlignment="1">
      <alignment horizontal="center"/>
      <protection/>
    </xf>
    <xf numFmtId="4" fontId="31" fillId="23" borderId="14" xfId="40" applyNumberFormat="1" applyFont="1" applyFill="1" applyBorder="1" applyAlignment="1">
      <alignment horizontal="left"/>
      <protection/>
    </xf>
    <xf numFmtId="2" fontId="35" fillId="18" borderId="20" xfId="39" applyNumberFormat="1" applyFont="1" applyFill="1" applyBorder="1" applyAlignment="1">
      <alignment horizontal="right" vertical="center"/>
      <protection/>
    </xf>
    <xf numFmtId="2" fontId="35" fillId="9" borderId="21" xfId="39" applyNumberFormat="1" applyFont="1" applyFill="1" applyBorder="1" applyAlignment="1">
      <alignment horizontal="right" vertical="center"/>
      <protection/>
    </xf>
    <xf numFmtId="2" fontId="35" fillId="19" borderId="18" xfId="39" applyNumberFormat="1" applyFont="1" applyFill="1" applyBorder="1" applyAlignment="1">
      <alignment horizontal="right" vertical="center"/>
      <protection/>
    </xf>
    <xf numFmtId="2" fontId="35" fillId="19" borderId="11" xfId="39" applyNumberFormat="1" applyFont="1" applyFill="1" applyBorder="1" applyAlignment="1">
      <alignment horizontal="right" vertical="center"/>
      <protection/>
    </xf>
    <xf numFmtId="2" fontId="35" fillId="19" borderId="23" xfId="39" applyNumberFormat="1" applyFont="1" applyFill="1" applyBorder="1" applyAlignment="1">
      <alignment horizontal="right" vertical="center"/>
      <protection/>
    </xf>
    <xf numFmtId="2" fontId="13" fillId="18" borderId="29" xfId="39" applyNumberFormat="1" applyFont="1" applyFill="1" applyBorder="1" applyAlignment="1">
      <alignment horizontal="right" vertical="center"/>
      <protection/>
    </xf>
    <xf numFmtId="2" fontId="35" fillId="18" borderId="30" xfId="39" applyNumberFormat="1" applyFont="1" applyFill="1" applyBorder="1" applyAlignment="1">
      <alignment horizontal="right" vertical="center"/>
      <protection/>
    </xf>
    <xf numFmtId="2" fontId="13" fillId="18" borderId="30" xfId="39" applyNumberFormat="1" applyFont="1" applyFill="1" applyBorder="1" applyAlignment="1">
      <alignment horizontal="right" vertical="center"/>
      <protection/>
    </xf>
    <xf numFmtId="2" fontId="35" fillId="18" borderId="31" xfId="39" applyNumberFormat="1" applyFont="1" applyFill="1" applyBorder="1" applyAlignment="1">
      <alignment horizontal="right" vertical="center"/>
      <protection/>
    </xf>
    <xf numFmtId="2" fontId="35" fillId="9" borderId="32" xfId="39" applyNumberFormat="1" applyFont="1" applyFill="1" applyBorder="1" applyAlignment="1">
      <alignment vertical="center"/>
      <protection/>
    </xf>
    <xf numFmtId="2" fontId="35" fillId="9" borderId="33" xfId="39" applyNumberFormat="1" applyFont="1" applyFill="1" applyBorder="1" applyAlignment="1">
      <alignment horizontal="right" vertical="center"/>
      <protection/>
    </xf>
    <xf numFmtId="2" fontId="35" fillId="9" borderId="33" xfId="39" applyNumberFormat="1" applyFont="1" applyFill="1" applyBorder="1" applyAlignment="1">
      <alignment vertical="center"/>
      <protection/>
    </xf>
    <xf numFmtId="2" fontId="35" fillId="9" borderId="34" xfId="39" applyNumberFormat="1" applyFont="1" applyFill="1" applyBorder="1" applyAlignment="1">
      <alignment horizontal="right" vertical="center"/>
      <protection/>
    </xf>
    <xf numFmtId="2" fontId="35" fillId="18" borderId="35" xfId="39" applyNumberFormat="1" applyFont="1" applyFill="1" applyBorder="1" applyAlignment="1">
      <alignment horizontal="right" vertical="center"/>
      <protection/>
    </xf>
    <xf numFmtId="2" fontId="35" fillId="9" borderId="36" xfId="39" applyNumberFormat="1" applyFont="1" applyFill="1" applyBorder="1" applyAlignment="1">
      <alignment horizontal="right" vertical="center"/>
      <protection/>
    </xf>
    <xf numFmtId="2" fontId="13" fillId="19" borderId="18" xfId="39" applyNumberFormat="1" applyFont="1" applyFill="1" applyBorder="1" applyAlignment="1">
      <alignment horizontal="right" vertical="center"/>
      <protection/>
    </xf>
    <xf numFmtId="2" fontId="13" fillId="19" borderId="11" xfId="39" applyNumberFormat="1" applyFont="1" applyFill="1" applyBorder="1" applyAlignment="1">
      <alignment horizontal="right" vertical="center"/>
      <protection/>
    </xf>
    <xf numFmtId="2" fontId="35" fillId="18" borderId="29" xfId="39" applyNumberFormat="1" applyFont="1" applyFill="1" applyBorder="1" applyAlignment="1">
      <alignment horizontal="right" vertical="center"/>
      <protection/>
    </xf>
    <xf numFmtId="2" fontId="35" fillId="9" borderId="32" xfId="39" applyNumberFormat="1" applyFont="1" applyFill="1" applyBorder="1" applyAlignment="1">
      <alignment horizontal="right" vertical="center"/>
      <protection/>
    </xf>
    <xf numFmtId="2" fontId="13" fillId="21" borderId="13" xfId="38" applyNumberFormat="1" applyFont="1" applyFill="1" applyBorder="1" applyAlignment="1">
      <alignment horizontal="center" vertical="center" wrapText="1"/>
      <protection/>
    </xf>
    <xf numFmtId="2" fontId="13" fillId="21" borderId="13" xfId="39" applyNumberFormat="1" applyFont="1" applyFill="1" applyBorder="1" applyAlignment="1">
      <alignment vertical="center"/>
      <protection/>
    </xf>
    <xf numFmtId="0" fontId="13" fillId="21" borderId="10" xfId="0" applyFont="1" applyFill="1" applyBorder="1" applyAlignment="1">
      <alignment horizontal="left" vertical="center" wrapText="1"/>
    </xf>
    <xf numFmtId="0" fontId="13" fillId="21" borderId="14" xfId="35" applyFont="1" applyFill="1" applyBorder="1" applyAlignment="1">
      <alignment horizontal="center" vertical="center"/>
      <protection/>
    </xf>
    <xf numFmtId="0" fontId="13" fillId="21" borderId="10" xfId="0" applyFont="1" applyFill="1" applyBorder="1" applyAlignment="1">
      <alignment horizontal="left" vertical="center"/>
    </xf>
    <xf numFmtId="0" fontId="13" fillId="21" borderId="14" xfId="39" applyFont="1" applyFill="1" applyBorder="1" applyAlignment="1">
      <alignment horizontal="center" vertical="center"/>
      <protection/>
    </xf>
    <xf numFmtId="49" fontId="13" fillId="21" borderId="12" xfId="39" applyNumberFormat="1" applyFont="1" applyFill="1" applyBorder="1" applyAlignment="1">
      <alignment horizontal="left" vertical="center"/>
      <protection/>
    </xf>
    <xf numFmtId="0" fontId="13" fillId="21" borderId="14" xfId="39" applyFont="1" applyFill="1" applyBorder="1" applyAlignment="1">
      <alignment horizontal="center" vertical="center" wrapText="1"/>
      <protection/>
    </xf>
    <xf numFmtId="2" fontId="13" fillId="21" borderId="12" xfId="39" applyNumberFormat="1" applyFont="1" applyFill="1" applyBorder="1" applyAlignment="1">
      <alignment vertical="center" wrapText="1"/>
      <protection/>
    </xf>
    <xf numFmtId="0" fontId="13" fillId="21" borderId="10" xfId="0" applyFont="1" applyFill="1" applyBorder="1" applyAlignment="1">
      <alignment vertical="center" wrapText="1"/>
    </xf>
    <xf numFmtId="2" fontId="13" fillId="21" borderId="13" xfId="39" applyNumberFormat="1" applyFont="1" applyFill="1" applyBorder="1" applyAlignment="1">
      <alignment horizontal="right" vertical="center" wrapText="1"/>
      <protection/>
    </xf>
    <xf numFmtId="0" fontId="37" fillId="21" borderId="26" xfId="38" applyFont="1" applyFill="1" applyBorder="1" applyAlignment="1">
      <alignment/>
      <protection/>
    </xf>
    <xf numFmtId="0" fontId="37" fillId="21" borderId="10" xfId="38" applyFont="1" applyFill="1" applyBorder="1" applyAlignment="1">
      <alignment horizontal="center"/>
      <protection/>
    </xf>
    <xf numFmtId="0" fontId="35" fillId="0" borderId="26" xfId="39" applyFont="1" applyFill="1" applyBorder="1" applyAlignment="1">
      <alignment horizontal="center" vertical="center"/>
      <protection/>
    </xf>
    <xf numFmtId="0" fontId="13" fillId="0" borderId="10" xfId="39" applyFont="1" applyFill="1" applyBorder="1" applyAlignment="1">
      <alignment horizontal="center" vertical="center" wrapText="1"/>
      <protection/>
    </xf>
    <xf numFmtId="0" fontId="13" fillId="0" borderId="13" xfId="39" applyFont="1" applyFill="1" applyBorder="1" applyAlignment="1">
      <alignment horizontal="center" vertical="center" wrapText="1"/>
      <protection/>
    </xf>
    <xf numFmtId="0" fontId="13" fillId="0" borderId="26" xfId="38" applyFont="1" applyFill="1" applyBorder="1" applyAlignment="1">
      <alignment vertical="center"/>
      <protection/>
    </xf>
    <xf numFmtId="0" fontId="13" fillId="0" borderId="10" xfId="38" applyFont="1" applyFill="1" applyBorder="1" applyAlignment="1">
      <alignment horizontal="center" vertical="center" textRotation="90"/>
      <protection/>
    </xf>
    <xf numFmtId="0" fontId="35" fillId="0" borderId="10" xfId="38" applyFont="1" applyFill="1" applyBorder="1" applyAlignment="1">
      <alignment horizontal="center" vertical="center"/>
      <protection/>
    </xf>
    <xf numFmtId="0" fontId="13" fillId="0" borderId="10" xfId="38" applyFont="1" applyFill="1" applyBorder="1" applyAlignment="1">
      <alignment horizontal="center" vertical="center" wrapText="1"/>
      <protection/>
    </xf>
    <xf numFmtId="0" fontId="13" fillId="0" borderId="13" xfId="38" applyFont="1" applyFill="1" applyBorder="1" applyAlignment="1">
      <alignment horizontal="center" vertical="center" wrapText="1"/>
      <protection/>
    </xf>
    <xf numFmtId="0" fontId="13" fillId="0" borderId="26" xfId="38" applyFont="1" applyFill="1" applyBorder="1" applyAlignment="1">
      <alignment horizontal="center" vertical="center"/>
      <protection/>
    </xf>
    <xf numFmtId="0" fontId="13" fillId="0" borderId="26" xfId="38" applyFont="1" applyFill="1" applyBorder="1" applyAlignment="1">
      <alignment horizontal="center" vertical="center" wrapText="1"/>
      <protection/>
    </xf>
    <xf numFmtId="0" fontId="13" fillId="0" borderId="10" xfId="38" applyFont="1" applyFill="1" applyBorder="1" applyAlignment="1">
      <alignment horizontal="center" vertical="center"/>
      <protection/>
    </xf>
    <xf numFmtId="0" fontId="13" fillId="0" borderId="26" xfId="39" applyFont="1" applyFill="1" applyBorder="1" applyAlignment="1">
      <alignment horizontal="center" vertical="center" wrapText="1"/>
      <protection/>
    </xf>
    <xf numFmtId="0" fontId="13" fillId="0" borderId="13" xfId="0" applyFont="1" applyBorder="1" applyAlignment="1">
      <alignment horizontal="center" vertical="center" wrapText="1"/>
    </xf>
    <xf numFmtId="2" fontId="13" fillId="2" borderId="13" xfId="39" applyNumberFormat="1" applyFont="1" applyFill="1" applyBorder="1" applyAlignment="1">
      <alignment horizontal="center" vertical="center" wrapText="1"/>
      <protection/>
    </xf>
    <xf numFmtId="2" fontId="35" fillId="0" borderId="13" xfId="39" applyNumberFormat="1" applyFont="1" applyFill="1" applyBorder="1" applyAlignment="1">
      <alignment horizontal="left" vertical="center" wrapText="1"/>
      <protection/>
    </xf>
    <xf numFmtId="0" fontId="13" fillId="0" borderId="11" xfId="38" applyFont="1" applyFill="1" applyBorder="1" applyAlignment="1">
      <alignment horizontal="center" vertical="center"/>
      <protection/>
    </xf>
    <xf numFmtId="0" fontId="13" fillId="0" borderId="13" xfId="38" applyFont="1" applyFill="1" applyBorder="1" applyAlignment="1">
      <alignment horizontal="center" vertical="center"/>
      <protection/>
    </xf>
    <xf numFmtId="0" fontId="13" fillId="0" borderId="37" xfId="38" applyFont="1" applyFill="1" applyBorder="1" applyAlignment="1">
      <alignment horizontal="center" vertical="center" wrapText="1"/>
      <protection/>
    </xf>
    <xf numFmtId="0" fontId="13" fillId="0" borderId="11" xfId="38" applyFont="1" applyFill="1" applyBorder="1" applyAlignment="1">
      <alignment horizontal="center" vertical="center" textRotation="90"/>
      <protection/>
    </xf>
    <xf numFmtId="0" fontId="13" fillId="0" borderId="11" xfId="38" applyFont="1" applyFill="1" applyBorder="1" applyAlignment="1">
      <alignment horizontal="center" vertical="center" wrapText="1"/>
      <protection/>
    </xf>
    <xf numFmtId="0" fontId="13" fillId="0" borderId="23" xfId="38" applyFont="1" applyFill="1" applyBorder="1" applyAlignment="1">
      <alignment horizontal="center" vertical="center" wrapText="1"/>
      <protection/>
    </xf>
    <xf numFmtId="0" fontId="13" fillId="0" borderId="38" xfId="38" applyFont="1" applyFill="1" applyBorder="1" applyAlignment="1">
      <alignment horizontal="center" vertical="center" wrapText="1"/>
      <protection/>
    </xf>
    <xf numFmtId="0" fontId="13" fillId="0" borderId="16" xfId="38" applyFont="1" applyFill="1" applyBorder="1" applyAlignment="1">
      <alignment horizontal="center" vertical="center" textRotation="90"/>
      <protection/>
    </xf>
    <xf numFmtId="0" fontId="13" fillId="0" borderId="16" xfId="38" applyFont="1" applyFill="1" applyBorder="1" applyAlignment="1">
      <alignment horizontal="center" vertical="center" wrapText="1"/>
      <protection/>
    </xf>
    <xf numFmtId="0" fontId="13" fillId="0" borderId="24" xfId="38" applyFont="1" applyFill="1" applyBorder="1" applyAlignment="1">
      <alignment horizontal="center" vertical="center" wrapText="1"/>
      <protection/>
    </xf>
    <xf numFmtId="0" fontId="37" fillId="0" borderId="27" xfId="38" applyFont="1" applyFill="1" applyBorder="1" applyAlignment="1">
      <alignment horizontal="center" vertical="center" wrapText="1"/>
      <protection/>
    </xf>
    <xf numFmtId="0" fontId="37" fillId="0" borderId="17" xfId="38" applyFont="1" applyFill="1" applyBorder="1" applyAlignment="1">
      <alignment horizontal="center" vertical="center"/>
      <protection/>
    </xf>
    <xf numFmtId="0" fontId="13" fillId="0" borderId="17" xfId="38" applyFont="1" applyFill="1" applyBorder="1" applyAlignment="1">
      <alignment horizontal="center" vertical="center"/>
      <protection/>
    </xf>
    <xf numFmtId="0" fontId="37" fillId="0" borderId="25" xfId="38" applyFont="1" applyFill="1" applyBorder="1" applyAlignment="1">
      <alignment horizontal="center" vertical="center"/>
      <protection/>
    </xf>
    <xf numFmtId="0" fontId="13" fillId="0" borderId="13" xfId="38" applyFont="1" applyFill="1" applyBorder="1" applyAlignment="1">
      <alignment vertical="center" wrapText="1"/>
      <protection/>
    </xf>
    <xf numFmtId="0" fontId="13" fillId="0" borderId="10" xfId="38" applyFont="1" applyFill="1" applyBorder="1" applyAlignment="1">
      <alignment horizontal="center" vertical="center" textRotation="90" wrapText="1"/>
      <protection/>
    </xf>
    <xf numFmtId="188" fontId="13" fillId="0" borderId="10" xfId="38" applyNumberFormat="1" applyFont="1" applyFill="1" applyBorder="1" applyAlignment="1">
      <alignment horizontal="center" vertical="center" wrapText="1"/>
      <protection/>
    </xf>
    <xf numFmtId="2" fontId="13" fillId="9" borderId="15" xfId="39" applyNumberFormat="1" applyFont="1" applyFill="1" applyBorder="1" applyAlignment="1">
      <alignment vertical="center" wrapText="1"/>
      <protection/>
    </xf>
    <xf numFmtId="2" fontId="13" fillId="9" borderId="16" xfId="39" applyNumberFormat="1" applyFont="1" applyFill="1" applyBorder="1" applyAlignment="1">
      <alignment horizontal="right" vertical="center" wrapText="1"/>
      <protection/>
    </xf>
    <xf numFmtId="0" fontId="13" fillId="0" borderId="16" xfId="38" applyFont="1" applyFill="1" applyBorder="1" applyAlignment="1">
      <alignment horizontal="center" vertical="center" textRotation="90" wrapText="1"/>
      <protection/>
    </xf>
    <xf numFmtId="0" fontId="13" fillId="0" borderId="16" xfId="38" applyFont="1" applyFill="1" applyBorder="1" applyAlignment="1">
      <alignment horizontal="center" vertical="center"/>
      <protection/>
    </xf>
    <xf numFmtId="0" fontId="13" fillId="0" borderId="24" xfId="38" applyFont="1" applyFill="1" applyBorder="1" applyAlignment="1">
      <alignment vertical="center"/>
      <protection/>
    </xf>
    <xf numFmtId="0" fontId="13" fillId="0" borderId="27" xfId="38" applyFont="1" applyFill="1" applyBorder="1" applyAlignment="1">
      <alignment horizontal="center" vertical="center" wrapText="1"/>
      <protection/>
    </xf>
    <xf numFmtId="0" fontId="13" fillId="0" borderId="17" xfId="38" applyFont="1" applyFill="1" applyBorder="1" applyAlignment="1">
      <alignment horizontal="center" vertical="center" textRotation="90" wrapText="1"/>
      <protection/>
    </xf>
    <xf numFmtId="0" fontId="13" fillId="0" borderId="25" xfId="38" applyFont="1" applyFill="1" applyBorder="1" applyAlignment="1">
      <alignment vertical="center"/>
      <protection/>
    </xf>
    <xf numFmtId="0" fontId="13" fillId="0" borderId="10" xfId="38" applyNumberFormat="1" applyFont="1" applyFill="1" applyBorder="1" applyAlignment="1" applyProtection="1">
      <alignment horizontal="center" vertical="center"/>
      <protection/>
    </xf>
    <xf numFmtId="0" fontId="13" fillId="0" borderId="13" xfId="38" applyNumberFormat="1" applyFont="1" applyFill="1" applyBorder="1" applyAlignment="1" applyProtection="1">
      <alignment horizontal="center" vertical="center"/>
      <protection/>
    </xf>
    <xf numFmtId="0" fontId="13" fillId="0" borderId="13" xfId="38" applyFont="1" applyFill="1" applyBorder="1" applyAlignment="1">
      <alignment vertical="center"/>
      <protection/>
    </xf>
    <xf numFmtId="0" fontId="37" fillId="0" borderId="10" xfId="38" applyFont="1" applyFill="1" applyBorder="1" applyAlignment="1">
      <alignment horizontal="center" vertical="center"/>
      <protection/>
    </xf>
    <xf numFmtId="0" fontId="37" fillId="0" borderId="13" xfId="38" applyFont="1" applyFill="1" applyBorder="1" applyAlignment="1">
      <alignment horizontal="center" vertical="center"/>
      <protection/>
    </xf>
    <xf numFmtId="2" fontId="13" fillId="0" borderId="10" xfId="38" applyNumberFormat="1" applyFont="1" applyFill="1" applyBorder="1" applyAlignment="1" applyProtection="1">
      <alignment horizontal="center" vertical="center" textRotation="90" wrapText="1"/>
      <protection/>
    </xf>
    <xf numFmtId="2" fontId="13" fillId="0" borderId="11" xfId="38" applyNumberFormat="1" applyFont="1" applyFill="1" applyBorder="1" applyAlignment="1" applyProtection="1">
      <alignment horizontal="center" vertical="center" textRotation="90" wrapText="1"/>
      <protection/>
    </xf>
    <xf numFmtId="0" fontId="13" fillId="0" borderId="23" xfId="38" applyFont="1" applyFill="1" applyBorder="1" applyAlignment="1">
      <alignment horizontal="center" vertical="center"/>
      <protection/>
    </xf>
    <xf numFmtId="2" fontId="13" fillId="0" borderId="16" xfId="38" applyNumberFormat="1" applyFont="1" applyFill="1" applyBorder="1" applyAlignment="1" applyProtection="1">
      <alignment horizontal="center" vertical="center" textRotation="90" wrapText="1"/>
      <protection/>
    </xf>
    <xf numFmtId="0" fontId="13" fillId="0" borderId="24" xfId="38" applyFont="1" applyFill="1" applyBorder="1" applyAlignment="1">
      <alignment horizontal="center" vertical="center"/>
      <protection/>
    </xf>
    <xf numFmtId="2" fontId="13" fillId="0" borderId="17" xfId="38" applyNumberFormat="1" applyFont="1" applyFill="1" applyBorder="1" applyAlignment="1" applyProtection="1">
      <alignment horizontal="center" vertical="center" textRotation="90" wrapText="1"/>
      <protection/>
    </xf>
    <xf numFmtId="0" fontId="13" fillId="0" borderId="13" xfId="38" applyNumberFormat="1" applyFont="1" applyFill="1" applyBorder="1" applyAlignment="1" applyProtection="1">
      <alignment vertical="center"/>
      <protection/>
    </xf>
    <xf numFmtId="0" fontId="13" fillId="21" borderId="26" xfId="39" applyFont="1" applyFill="1" applyBorder="1" applyAlignment="1">
      <alignment horizontal="center" vertical="center" wrapText="1"/>
      <protection/>
    </xf>
    <xf numFmtId="2" fontId="13" fillId="21" borderId="10" xfId="38" applyNumberFormat="1" applyFont="1" applyFill="1" applyBorder="1" applyAlignment="1" applyProtection="1">
      <alignment horizontal="center" vertical="center" textRotation="90" wrapText="1"/>
      <protection/>
    </xf>
    <xf numFmtId="0" fontId="13" fillId="21" borderId="10" xfId="38" applyFont="1" applyFill="1" applyBorder="1" applyAlignment="1">
      <alignment horizontal="center" vertical="center"/>
      <protection/>
    </xf>
    <xf numFmtId="0" fontId="13" fillId="21" borderId="13" xfId="38" applyNumberFormat="1" applyFont="1" applyFill="1" applyBorder="1" applyAlignment="1" applyProtection="1">
      <alignment vertical="center"/>
      <protection/>
    </xf>
    <xf numFmtId="0" fontId="13" fillId="0" borderId="23" xfId="38" applyNumberFormat="1" applyFont="1" applyFill="1" applyBorder="1" applyAlignment="1" applyProtection="1">
      <alignment vertical="center"/>
      <protection/>
    </xf>
    <xf numFmtId="0" fontId="13" fillId="0" borderId="25" xfId="38" applyFont="1" applyFill="1" applyBorder="1" applyAlignment="1">
      <alignment horizontal="center" vertical="center"/>
      <protection/>
    </xf>
    <xf numFmtId="0" fontId="13" fillId="0" borderId="23" xfId="38" applyFont="1" applyFill="1" applyBorder="1" applyAlignment="1">
      <alignment vertical="center"/>
      <protection/>
    </xf>
    <xf numFmtId="2" fontId="13" fillId="0" borderId="38" xfId="38" applyNumberFormat="1" applyFont="1" applyFill="1" applyBorder="1" applyAlignment="1" applyProtection="1">
      <alignment horizontal="center" vertical="center" wrapText="1"/>
      <protection/>
    </xf>
    <xf numFmtId="2" fontId="13" fillId="0" borderId="27" xfId="38" applyNumberFormat="1" applyFont="1" applyFill="1" applyBorder="1" applyAlignment="1" applyProtection="1">
      <alignment horizontal="center" vertical="center" wrapText="1"/>
      <protection/>
    </xf>
    <xf numFmtId="0" fontId="13" fillId="0" borderId="17" xfId="38" applyFont="1" applyFill="1" applyBorder="1" applyAlignment="1">
      <alignment horizontal="center" vertical="center" wrapText="1"/>
      <protection/>
    </xf>
    <xf numFmtId="0" fontId="13" fillId="0" borderId="25" xfId="38" applyFont="1" applyFill="1" applyBorder="1" applyAlignment="1">
      <alignment horizontal="center" vertical="center" wrapText="1"/>
      <protection/>
    </xf>
    <xf numFmtId="0" fontId="13" fillId="0" borderId="37" xfId="39" applyFont="1" applyFill="1" applyBorder="1" applyAlignment="1">
      <alignment horizontal="center" vertical="center" wrapText="1"/>
      <protection/>
    </xf>
    <xf numFmtId="0" fontId="13" fillId="0" borderId="0" xfId="38" applyFont="1" applyFill="1" applyBorder="1" applyAlignment="1">
      <alignment horizontal="center" vertical="center" wrapText="1"/>
      <protection/>
    </xf>
    <xf numFmtId="0" fontId="13" fillId="0" borderId="0" xfId="38" applyFont="1" applyFill="1" applyBorder="1" applyAlignment="1">
      <alignment horizontal="center" vertical="center"/>
      <protection/>
    </xf>
    <xf numFmtId="2" fontId="13" fillId="21" borderId="10" xfId="38" applyNumberFormat="1" applyFont="1" applyFill="1" applyBorder="1" applyAlignment="1">
      <alignment horizontal="right" vertical="center"/>
      <protection/>
    </xf>
    <xf numFmtId="4" fontId="0" fillId="0" borderId="0" xfId="38" applyNumberFormat="1" applyFont="1" applyAlignment="1">
      <alignment horizontal="right" vertical="center" wrapText="1"/>
      <protection/>
    </xf>
    <xf numFmtId="4" fontId="37" fillId="21" borderId="10" xfId="38" applyNumberFormat="1" applyFont="1" applyFill="1" applyBorder="1" applyAlignment="1">
      <alignment/>
      <protection/>
    </xf>
    <xf numFmtId="4" fontId="13" fillId="0" borderId="10" xfId="39" applyNumberFormat="1" applyFont="1" applyFill="1" applyBorder="1" applyAlignment="1">
      <alignment horizontal="right" vertical="center"/>
      <protection/>
    </xf>
    <xf numFmtId="4" fontId="35" fillId="19" borderId="10" xfId="39" applyNumberFormat="1" applyFont="1" applyFill="1" applyBorder="1" applyAlignment="1">
      <alignment horizontal="right" vertical="center" wrapText="1"/>
      <protection/>
    </xf>
    <xf numFmtId="4" fontId="13" fillId="0" borderId="10" xfId="38" applyNumberFormat="1" applyFont="1" applyFill="1" applyBorder="1" applyAlignment="1">
      <alignment horizontal="right" vertical="center"/>
      <protection/>
    </xf>
    <xf numFmtId="4" fontId="35" fillId="20" borderId="10" xfId="39" applyNumberFormat="1" applyFont="1" applyFill="1" applyBorder="1" applyAlignment="1">
      <alignment horizontal="right" vertical="center"/>
      <protection/>
    </xf>
    <xf numFmtId="4" fontId="35" fillId="0" borderId="10" xfId="38" applyNumberFormat="1" applyFont="1" applyFill="1" applyBorder="1" applyAlignment="1">
      <alignment horizontal="right" vertical="center"/>
      <protection/>
    </xf>
    <xf numFmtId="4" fontId="35" fillId="0" borderId="10" xfId="39" applyNumberFormat="1" applyFont="1" applyFill="1" applyBorder="1" applyAlignment="1">
      <alignment horizontal="right" vertical="center"/>
      <protection/>
    </xf>
    <xf numFmtId="4" fontId="13" fillId="2" borderId="10" xfId="38" applyNumberFormat="1" applyFont="1" applyFill="1" applyBorder="1" applyAlignment="1">
      <alignment horizontal="right" vertical="center"/>
      <protection/>
    </xf>
    <xf numFmtId="4" fontId="35" fillId="20" borderId="10" xfId="38" applyNumberFormat="1" applyFont="1" applyFill="1" applyBorder="1" applyAlignment="1">
      <alignment horizontal="right" vertical="center"/>
      <protection/>
    </xf>
    <xf numFmtId="4" fontId="13" fillId="2" borderId="10" xfId="39" applyNumberFormat="1" applyFont="1" applyFill="1" applyBorder="1" applyAlignment="1">
      <alignment horizontal="right" vertical="center"/>
      <protection/>
    </xf>
    <xf numFmtId="4" fontId="37" fillId="19" borderId="10" xfId="39" applyNumberFormat="1" applyFont="1" applyFill="1" applyBorder="1" applyAlignment="1">
      <alignment horizontal="right" vertical="center"/>
      <protection/>
    </xf>
    <xf numFmtId="4" fontId="35" fillId="18" borderId="10" xfId="39" applyNumberFormat="1" applyFont="1" applyFill="1" applyBorder="1" applyAlignment="1">
      <alignment horizontal="right" vertical="center"/>
      <protection/>
    </xf>
    <xf numFmtId="4" fontId="37" fillId="18" borderId="11" xfId="39" applyNumberFormat="1" applyFont="1" applyFill="1" applyBorder="1" applyAlignment="1">
      <alignment horizontal="right" vertical="center"/>
      <protection/>
    </xf>
    <xf numFmtId="4" fontId="35" fillId="9" borderId="16" xfId="39" applyNumberFormat="1" applyFont="1" applyFill="1" applyBorder="1" applyAlignment="1">
      <alignment vertical="center"/>
      <protection/>
    </xf>
    <xf numFmtId="4" fontId="13" fillId="9" borderId="17" xfId="38" applyNumberFormat="1" applyFont="1" applyFill="1" applyBorder="1" applyAlignment="1">
      <alignment vertical="center"/>
      <protection/>
    </xf>
    <xf numFmtId="4" fontId="13" fillId="19" borderId="10" xfId="39" applyNumberFormat="1" applyFont="1" applyFill="1" applyBorder="1" applyAlignment="1">
      <alignment horizontal="right" vertical="center" wrapText="1"/>
      <protection/>
    </xf>
    <xf numFmtId="4" fontId="13" fillId="0" borderId="10" xfId="38" applyNumberFormat="1" applyFont="1" applyFill="1" applyBorder="1" applyAlignment="1">
      <alignment horizontal="right" vertical="center" wrapText="1"/>
      <protection/>
    </xf>
    <xf numFmtId="4" fontId="13" fillId="20" borderId="10" xfId="38" applyNumberFormat="1" applyFont="1" applyFill="1" applyBorder="1" applyAlignment="1">
      <alignment horizontal="right" vertical="center" wrapText="1"/>
      <protection/>
    </xf>
    <xf numFmtId="4" fontId="13" fillId="18" borderId="10" xfId="38" applyNumberFormat="1" applyFont="1" applyFill="1" applyBorder="1" applyAlignment="1">
      <alignment horizontal="right" vertical="center" wrapText="1"/>
      <protection/>
    </xf>
    <xf numFmtId="4" fontId="13" fillId="18" borderId="10" xfId="39" applyNumberFormat="1" applyFont="1" applyFill="1" applyBorder="1" applyAlignment="1">
      <alignment horizontal="right" vertical="center" wrapText="1"/>
      <protection/>
    </xf>
    <xf numFmtId="4" fontId="13" fillId="9" borderId="16" xfId="39" applyNumberFormat="1" applyFont="1" applyFill="1" applyBorder="1" applyAlignment="1">
      <alignment horizontal="right" vertical="center"/>
      <protection/>
    </xf>
    <xf numFmtId="4" fontId="13" fillId="9" borderId="17" xfId="39" applyNumberFormat="1" applyFont="1" applyFill="1" applyBorder="1" applyAlignment="1">
      <alignment horizontal="right" vertical="center"/>
      <protection/>
    </xf>
    <xf numFmtId="4" fontId="13" fillId="0" borderId="10" xfId="38" applyNumberFormat="1" applyFont="1" applyFill="1" applyBorder="1" applyAlignment="1">
      <alignment horizontal="right"/>
      <protection/>
    </xf>
    <xf numFmtId="4" fontId="13" fillId="22" borderId="10" xfId="39" applyNumberFormat="1" applyFont="1" applyFill="1" applyBorder="1" applyAlignment="1" applyProtection="1">
      <alignment horizontal="right" vertical="center"/>
      <protection locked="0"/>
    </xf>
    <xf numFmtId="4" fontId="13" fillId="20" borderId="10" xfId="39" applyNumberFormat="1" applyFont="1" applyFill="1" applyBorder="1" applyAlignment="1" applyProtection="1">
      <alignment horizontal="right" vertical="center"/>
      <protection/>
    </xf>
    <xf numFmtId="4" fontId="13" fillId="21" borderId="10" xfId="38" applyNumberFormat="1" applyFont="1" applyFill="1" applyBorder="1" applyAlignment="1">
      <alignment horizontal="right" vertical="center"/>
      <protection/>
    </xf>
    <xf numFmtId="4" fontId="13" fillId="20" borderId="10" xfId="39" applyNumberFormat="1" applyFont="1" applyFill="1" applyBorder="1" applyAlignment="1">
      <alignment horizontal="right" vertical="center"/>
      <protection/>
    </xf>
    <xf numFmtId="4" fontId="13" fillId="19" borderId="10" xfId="39" applyNumberFormat="1" applyFont="1" applyFill="1" applyBorder="1" applyAlignment="1" applyProtection="1">
      <alignment horizontal="right" vertical="center"/>
      <protection/>
    </xf>
    <xf numFmtId="4" fontId="13" fillId="18" borderId="10" xfId="39" applyNumberFormat="1" applyFont="1" applyFill="1" applyBorder="1" applyAlignment="1">
      <alignment horizontal="right" vertical="center"/>
      <protection/>
    </xf>
    <xf numFmtId="4" fontId="13" fillId="18" borderId="11" xfId="39" applyNumberFormat="1" applyFont="1" applyFill="1" applyBorder="1" applyAlignment="1">
      <alignment horizontal="right" vertical="center"/>
      <protection/>
    </xf>
    <xf numFmtId="4" fontId="37" fillId="9" borderId="17" xfId="39" applyNumberFormat="1" applyFont="1" applyFill="1" applyBorder="1" applyAlignment="1">
      <alignment vertical="center"/>
      <protection/>
    </xf>
    <xf numFmtId="4" fontId="35" fillId="2" borderId="10" xfId="38" applyNumberFormat="1" applyFont="1" applyFill="1" applyBorder="1" applyAlignment="1">
      <alignment horizontal="right" vertical="center"/>
      <protection/>
    </xf>
    <xf numFmtId="4" fontId="13" fillId="0" borderId="10" xfId="38" applyNumberFormat="1" applyFont="1" applyFill="1" applyBorder="1" applyAlignment="1" applyProtection="1">
      <alignment horizontal="right" vertical="center"/>
      <protection/>
    </xf>
    <xf numFmtId="4" fontId="13" fillId="19" borderId="10" xfId="39" applyNumberFormat="1" applyFont="1" applyFill="1" applyBorder="1" applyAlignment="1">
      <alignment horizontal="right" vertical="center"/>
      <protection/>
    </xf>
    <xf numFmtId="4" fontId="13" fillId="21" borderId="10" xfId="39" applyNumberFormat="1" applyFont="1" applyFill="1" applyBorder="1" applyAlignment="1">
      <alignment horizontal="right" vertical="center"/>
      <protection/>
    </xf>
    <xf numFmtId="4" fontId="35" fillId="19" borderId="10" xfId="39" applyNumberFormat="1" applyFont="1" applyFill="1" applyBorder="1" applyAlignment="1">
      <alignment horizontal="right" vertical="center"/>
      <protection/>
    </xf>
    <xf numFmtId="4" fontId="13" fillId="19" borderId="11" xfId="39" applyNumberFormat="1" applyFont="1" applyFill="1" applyBorder="1" applyAlignment="1">
      <alignment horizontal="right" vertical="center"/>
      <protection/>
    </xf>
    <xf numFmtId="4" fontId="35" fillId="18" borderId="30" xfId="39" applyNumberFormat="1" applyFont="1" applyFill="1" applyBorder="1" applyAlignment="1">
      <alignment horizontal="right" vertical="center"/>
      <protection/>
    </xf>
    <xf numFmtId="4" fontId="35" fillId="9" borderId="33" xfId="39" applyNumberFormat="1" applyFont="1" applyFill="1" applyBorder="1" applyAlignment="1">
      <alignment horizontal="right" vertical="center"/>
      <protection/>
    </xf>
    <xf numFmtId="4" fontId="13" fillId="0" borderId="10" xfId="38" applyNumberFormat="1" applyFont="1" applyFill="1" applyBorder="1" applyAlignment="1">
      <alignment vertical="center"/>
      <protection/>
    </xf>
    <xf numFmtId="4" fontId="13" fillId="0" borderId="11" xfId="38" applyNumberFormat="1" applyFont="1" applyFill="1" applyBorder="1" applyAlignment="1" applyProtection="1">
      <alignment horizontal="right" vertical="center"/>
      <protection/>
    </xf>
    <xf numFmtId="4" fontId="37" fillId="9" borderId="17" xfId="39" applyNumberFormat="1" applyFont="1" applyFill="1" applyBorder="1" applyAlignment="1">
      <alignment/>
      <protection/>
    </xf>
    <xf numFmtId="4" fontId="35" fillId="20" borderId="16" xfId="39" applyNumberFormat="1" applyFont="1" applyFill="1" applyBorder="1" applyAlignment="1">
      <alignment vertical="center"/>
      <protection/>
    </xf>
    <xf numFmtId="4" fontId="35" fillId="0" borderId="0" xfId="39" applyNumberFormat="1" applyFont="1" applyFill="1" applyBorder="1" applyAlignment="1">
      <alignment vertical="center"/>
      <protection/>
    </xf>
    <xf numFmtId="4" fontId="13" fillId="0" borderId="0" xfId="38" applyNumberFormat="1" applyFont="1" applyFill="1" applyAlignment="1">
      <alignment horizontal="right" vertical="center" wrapText="1"/>
      <protection/>
    </xf>
    <xf numFmtId="4" fontId="13" fillId="0" borderId="0" xfId="64" applyNumberFormat="1" applyFont="1" applyAlignment="1">
      <alignment horizontal="center"/>
      <protection/>
    </xf>
    <xf numFmtId="4" fontId="13" fillId="0" borderId="0" xfId="64" applyNumberFormat="1" applyFont="1">
      <alignment/>
      <protection/>
    </xf>
    <xf numFmtId="4" fontId="13" fillId="0" borderId="0" xfId="38" applyNumberFormat="1" applyFont="1" applyAlignment="1">
      <alignment horizontal="right" vertical="center" wrapText="1"/>
      <protection/>
    </xf>
    <xf numFmtId="4" fontId="13" fillId="0" borderId="10" xfId="39" applyNumberFormat="1" applyFont="1" applyFill="1" applyBorder="1" applyAlignment="1">
      <alignment vertical="center"/>
      <protection/>
    </xf>
    <xf numFmtId="4" fontId="13" fillId="2" borderId="10" xfId="38" applyNumberFormat="1" applyFont="1" applyFill="1" applyBorder="1" applyAlignment="1">
      <alignment horizontal="center" vertical="center"/>
      <protection/>
    </xf>
    <xf numFmtId="4" fontId="13" fillId="0" borderId="10" xfId="39" applyNumberFormat="1" applyFont="1" applyFill="1" applyBorder="1" applyAlignment="1">
      <alignment horizontal="right" vertical="center" wrapText="1"/>
      <protection/>
    </xf>
    <xf numFmtId="4" fontId="13" fillId="9" borderId="16" xfId="38" applyNumberFormat="1" applyFont="1" applyFill="1" applyBorder="1" applyAlignment="1">
      <alignment horizontal="right" vertical="center"/>
      <protection/>
    </xf>
    <xf numFmtId="4" fontId="13" fillId="9" borderId="17" xfId="38" applyNumberFormat="1" applyFont="1" applyFill="1" applyBorder="1" applyAlignment="1">
      <alignment horizontal="right" vertical="center"/>
      <protection/>
    </xf>
    <xf numFmtId="4" fontId="13" fillId="21" borderId="10" xfId="38" applyNumberFormat="1" applyFont="1" applyFill="1" applyBorder="1" applyAlignment="1" applyProtection="1">
      <alignment horizontal="right" vertical="center"/>
      <protection/>
    </xf>
    <xf numFmtId="2" fontId="13" fillId="21" borderId="10" xfId="39" applyNumberFormat="1" applyFont="1" applyFill="1" applyBorder="1" applyAlignment="1">
      <alignment vertical="center"/>
      <protection/>
    </xf>
    <xf numFmtId="2" fontId="13" fillId="21" borderId="12" xfId="38" applyNumberFormat="1" applyFont="1" applyFill="1" applyBorder="1" applyAlignment="1">
      <alignment horizontal="center" vertical="center"/>
      <protection/>
    </xf>
    <xf numFmtId="2" fontId="13" fillId="21" borderId="10" xfId="38" applyNumberFormat="1" applyFont="1" applyFill="1" applyBorder="1" applyAlignment="1">
      <alignment horizontal="center" vertical="center"/>
      <protection/>
    </xf>
    <xf numFmtId="4" fontId="13" fillId="21" borderId="10" xfId="38" applyNumberFormat="1" applyFont="1" applyFill="1" applyBorder="1" applyAlignment="1">
      <alignment horizontal="center" vertical="center"/>
      <protection/>
    </xf>
    <xf numFmtId="2" fontId="13" fillId="21" borderId="13" xfId="38" applyNumberFormat="1" applyFont="1" applyFill="1" applyBorder="1" applyAlignment="1">
      <alignment horizontal="center" vertical="center"/>
      <protection/>
    </xf>
    <xf numFmtId="0" fontId="13" fillId="21" borderId="10" xfId="38" applyFont="1" applyFill="1" applyBorder="1" applyAlignment="1">
      <alignment horizontal="center" vertical="center" textRotation="90"/>
      <protection/>
    </xf>
    <xf numFmtId="0" fontId="13" fillId="21" borderId="13" xfId="38" applyFont="1" applyFill="1" applyBorder="1" applyAlignment="1">
      <alignment horizontal="center" vertical="center"/>
      <protection/>
    </xf>
    <xf numFmtId="0" fontId="4" fillId="21" borderId="0" xfId="38" applyFont="1" applyFill="1">
      <alignment/>
      <protection/>
    </xf>
    <xf numFmtId="49" fontId="13" fillId="21" borderId="12" xfId="39" applyNumberFormat="1" applyFont="1" applyFill="1" applyBorder="1" applyAlignment="1">
      <alignment horizontal="left" vertical="center" wrapText="1"/>
      <protection/>
    </xf>
    <xf numFmtId="2" fontId="13" fillId="21" borderId="12" xfId="39" applyNumberFormat="1" applyFont="1" applyFill="1" applyBorder="1" applyAlignment="1">
      <alignment horizontal="right" vertical="center" wrapText="1"/>
      <protection/>
    </xf>
    <xf numFmtId="2" fontId="13" fillId="21" borderId="10" xfId="39" applyNumberFormat="1" applyFont="1" applyFill="1" applyBorder="1" applyAlignment="1">
      <alignment horizontal="right" vertical="center" wrapText="1"/>
      <protection/>
    </xf>
    <xf numFmtId="2" fontId="13" fillId="21" borderId="12" xfId="38" applyNumberFormat="1" applyFont="1" applyFill="1" applyBorder="1" applyAlignment="1">
      <alignment horizontal="right" vertical="center"/>
      <protection/>
    </xf>
    <xf numFmtId="2" fontId="13" fillId="21" borderId="10" xfId="38" applyNumberFormat="1" applyFont="1" applyFill="1" applyBorder="1" applyAlignment="1">
      <alignment horizontal="right" vertical="center" wrapText="1"/>
      <protection/>
    </xf>
    <xf numFmtId="4" fontId="13" fillId="21" borderId="10" xfId="38" applyNumberFormat="1" applyFont="1" applyFill="1" applyBorder="1" applyAlignment="1">
      <alignment horizontal="right" vertical="center" wrapText="1"/>
      <protection/>
    </xf>
    <xf numFmtId="0" fontId="13" fillId="21" borderId="13" xfId="38" applyFont="1" applyFill="1" applyBorder="1" applyAlignment="1">
      <alignment vertical="center" wrapText="1"/>
      <protection/>
    </xf>
    <xf numFmtId="0" fontId="4" fillId="21" borderId="0" xfId="38" applyFont="1" applyFill="1" applyAlignment="1">
      <alignment horizontal="center" vertical="center" wrapText="1"/>
      <protection/>
    </xf>
    <xf numFmtId="0" fontId="40" fillId="21" borderId="10" xfId="35" applyFont="1" applyFill="1" applyBorder="1" applyAlignment="1" applyProtection="1">
      <alignment horizontal="center" vertical="center" wrapText="1"/>
      <protection/>
    </xf>
    <xf numFmtId="1" fontId="40" fillId="21" borderId="10" xfId="35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35" applyFont="1" applyBorder="1" applyProtection="1">
      <alignment/>
      <protection/>
    </xf>
    <xf numFmtId="0" fontId="0" fillId="0" borderId="0" xfId="35" applyFont="1" applyBorder="1" applyAlignment="1" applyProtection="1">
      <alignment vertical="top"/>
      <protection/>
    </xf>
    <xf numFmtId="0" fontId="0" fillId="0" borderId="0" xfId="35" applyFont="1" applyProtection="1">
      <alignment/>
      <protection/>
    </xf>
    <xf numFmtId="4" fontId="0" fillId="0" borderId="0" xfId="35" applyNumberFormat="1" applyFont="1" applyProtection="1">
      <alignment/>
      <protection/>
    </xf>
    <xf numFmtId="0" fontId="13" fillId="0" borderId="11" xfId="38" applyNumberFormat="1" applyFont="1" applyFill="1" applyBorder="1" applyAlignment="1" applyProtection="1">
      <alignment horizontal="center" vertical="center"/>
      <protection/>
    </xf>
    <xf numFmtId="0" fontId="13" fillId="21" borderId="10" xfId="38" applyNumberFormat="1" applyFont="1" applyFill="1" applyBorder="1" applyAlignment="1" applyProtection="1">
      <alignment horizontal="center" vertical="center"/>
      <protection/>
    </xf>
    <xf numFmtId="0" fontId="35" fillId="0" borderId="10" xfId="64" applyFont="1" applyFill="1" applyBorder="1" applyAlignment="1">
      <alignment horizontal="center" vertical="center"/>
      <protection/>
    </xf>
    <xf numFmtId="0" fontId="11" fillId="0" borderId="0" xfId="63" applyFont="1" applyAlignment="1" applyProtection="1">
      <alignment horizontal="left"/>
      <protection hidden="1"/>
    </xf>
    <xf numFmtId="0" fontId="40" fillId="21" borderId="10" xfId="35" applyFont="1" applyFill="1" applyBorder="1" applyAlignment="1" applyProtection="1">
      <alignment horizontal="center" vertical="center" wrapText="1"/>
      <protection/>
    </xf>
    <xf numFmtId="0" fontId="40" fillId="21" borderId="10" xfId="35" applyFont="1" applyFill="1" applyBorder="1" applyAlignment="1" applyProtection="1">
      <alignment horizontal="center" vertical="center" wrapText="1"/>
      <protection locked="0"/>
    </xf>
    <xf numFmtId="0" fontId="40" fillId="0" borderId="10" xfId="35" applyFont="1" applyBorder="1" applyAlignment="1" applyProtection="1">
      <alignment horizontal="center" vertical="center" wrapText="1"/>
      <protection/>
    </xf>
    <xf numFmtId="0" fontId="40" fillId="0" borderId="11" xfId="35" applyFont="1" applyBorder="1" applyAlignment="1" applyProtection="1">
      <alignment horizontal="center" vertical="center" wrapText="1"/>
      <protection/>
    </xf>
    <xf numFmtId="0" fontId="40" fillId="0" borderId="39" xfId="35" applyFont="1" applyBorder="1" applyAlignment="1" applyProtection="1">
      <alignment horizontal="center" vertical="center" wrapText="1"/>
      <protection/>
    </xf>
    <xf numFmtId="0" fontId="40" fillId="0" borderId="17" xfId="35" applyFont="1" applyBorder="1" applyAlignment="1" applyProtection="1">
      <alignment horizontal="center" vertical="center" wrapText="1"/>
      <protection/>
    </xf>
    <xf numFmtId="0" fontId="40" fillId="0" borderId="14" xfId="35" applyNumberFormat="1" applyFont="1" applyFill="1" applyBorder="1" applyAlignment="1" applyProtection="1">
      <alignment horizontal="center" vertical="center" wrapText="1"/>
      <protection/>
    </xf>
    <xf numFmtId="0" fontId="40" fillId="0" borderId="26" xfId="35" applyNumberFormat="1" applyFont="1" applyFill="1" applyBorder="1" applyAlignment="1" applyProtection="1">
      <alignment horizontal="center" vertical="center" wrapText="1"/>
      <protection/>
    </xf>
    <xf numFmtId="0" fontId="40" fillId="0" borderId="0" xfId="63" applyFont="1" applyAlignment="1" applyProtection="1">
      <alignment horizontal="left"/>
      <protection hidden="1"/>
    </xf>
    <xf numFmtId="0" fontId="35" fillId="21" borderId="10" xfId="35" applyFont="1" applyFill="1" applyBorder="1" applyAlignment="1" applyProtection="1">
      <alignment horizontal="center" vertical="center" wrapText="1"/>
      <protection/>
    </xf>
    <xf numFmtId="0" fontId="40" fillId="0" borderId="10" xfId="35" applyFont="1" applyFill="1" applyBorder="1" applyAlignment="1" applyProtection="1">
      <alignment horizontal="center" vertical="center"/>
      <protection/>
    </xf>
    <xf numFmtId="0" fontId="40" fillId="0" borderId="10" xfId="35" applyFont="1" applyFill="1" applyBorder="1" applyAlignment="1" applyProtection="1">
      <alignment horizontal="center" vertical="center" wrapText="1"/>
      <protection locked="0"/>
    </xf>
    <xf numFmtId="0" fontId="40" fillId="0" borderId="10" xfId="35" applyFont="1" applyBorder="1" applyAlignment="1" applyProtection="1">
      <alignment horizontal="center" vertical="center"/>
      <protection/>
    </xf>
    <xf numFmtId="0" fontId="40" fillId="0" borderId="10" xfId="35" applyFont="1" applyFill="1" applyBorder="1" applyAlignment="1" applyProtection="1">
      <alignment horizontal="center" vertical="center"/>
      <protection locked="0"/>
    </xf>
    <xf numFmtId="0" fontId="40" fillId="0" borderId="10" xfId="35" applyFont="1" applyFill="1" applyBorder="1" applyAlignment="1" applyProtection="1">
      <alignment horizontal="center" vertical="center" wrapText="1"/>
      <protection/>
    </xf>
    <xf numFmtId="0" fontId="40" fillId="0" borderId="10" xfId="35" applyFont="1" applyFill="1" applyBorder="1" applyAlignment="1" applyProtection="1">
      <alignment horizontal="left" vertical="center" wrapText="1"/>
      <protection/>
    </xf>
    <xf numFmtId="49" fontId="40" fillId="0" borderId="10" xfId="35" applyNumberFormat="1" applyFont="1" applyFill="1" applyBorder="1" applyAlignment="1" applyProtection="1">
      <alignment horizontal="center" vertical="center" wrapText="1"/>
      <protection/>
    </xf>
    <xf numFmtId="2" fontId="40" fillId="21" borderId="10" xfId="35" applyNumberFormat="1" applyFont="1" applyFill="1" applyBorder="1" applyAlignment="1" applyProtection="1">
      <alignment horizontal="center" vertical="center" wrapText="1"/>
      <protection locked="0"/>
    </xf>
    <xf numFmtId="1" fontId="40" fillId="21" borderId="10" xfId="35" applyNumberFormat="1" applyFont="1" applyFill="1" applyBorder="1" applyAlignment="1" applyProtection="1">
      <alignment horizontal="center" vertical="center" wrapText="1"/>
      <protection locked="0"/>
    </xf>
    <xf numFmtId="0" fontId="38" fillId="2" borderId="10" xfId="64" applyFont="1" applyFill="1" applyBorder="1" applyAlignment="1" applyProtection="1">
      <alignment horizontal="center" vertical="center" wrapText="1"/>
      <protection/>
    </xf>
    <xf numFmtId="0" fontId="38" fillId="2" borderId="10" xfId="64" applyFont="1" applyFill="1" applyBorder="1" applyAlignment="1" applyProtection="1">
      <alignment horizontal="center" vertical="center"/>
      <protection/>
    </xf>
    <xf numFmtId="0" fontId="40" fillId="2" borderId="10" xfId="64" applyFont="1" applyFill="1" applyBorder="1" applyAlignment="1" applyProtection="1">
      <alignment horizontal="center" vertical="center" wrapText="1"/>
      <protection locked="0"/>
    </xf>
    <xf numFmtId="0" fontId="31" fillId="21" borderId="10" xfId="64" applyFont="1" applyFill="1" applyBorder="1" applyAlignment="1" applyProtection="1">
      <alignment horizontal="center" vertical="center"/>
      <protection/>
    </xf>
    <xf numFmtId="0" fontId="31" fillId="2" borderId="10" xfId="64" applyFont="1" applyFill="1" applyBorder="1" applyAlignment="1" applyProtection="1">
      <alignment horizontal="center" vertical="center" wrapText="1"/>
      <protection locked="0"/>
    </xf>
    <xf numFmtId="0" fontId="31" fillId="21" borderId="10" xfId="64" applyFont="1" applyFill="1" applyBorder="1" applyAlignment="1" applyProtection="1">
      <alignment horizontal="center" vertical="center" wrapText="1"/>
      <protection/>
    </xf>
    <xf numFmtId="0" fontId="43" fillId="2" borderId="40" xfId="64" applyFont="1" applyFill="1" applyBorder="1" applyAlignment="1" applyProtection="1">
      <alignment horizontal="left"/>
      <protection/>
    </xf>
    <xf numFmtId="49" fontId="44" fillId="2" borderId="10" xfId="35" applyNumberFormat="1" applyFont="1" applyFill="1" applyBorder="1" applyAlignment="1" applyProtection="1">
      <alignment horizontal="center" vertical="center" wrapText="1"/>
      <protection/>
    </xf>
    <xf numFmtId="0" fontId="40" fillId="21" borderId="11" xfId="35" applyFont="1" applyFill="1" applyBorder="1" applyAlignment="1" applyProtection="1">
      <alignment horizontal="center" vertical="center" wrapText="1"/>
      <protection/>
    </xf>
    <xf numFmtId="0" fontId="40" fillId="21" borderId="17" xfId="35" applyFont="1" applyFill="1" applyBorder="1" applyAlignment="1" applyProtection="1">
      <alignment horizontal="center" vertical="center" wrapText="1"/>
      <protection/>
    </xf>
    <xf numFmtId="4" fontId="40" fillId="8" borderId="10" xfId="35" applyNumberFormat="1" applyFont="1" applyFill="1" applyBorder="1" applyAlignment="1" applyProtection="1">
      <alignment horizontal="center" vertical="center" wrapText="1"/>
      <protection locked="0"/>
    </xf>
    <xf numFmtId="4" fontId="13" fillId="0" borderId="11" xfId="0" applyNumberFormat="1" applyFont="1" applyBorder="1" applyAlignment="1">
      <alignment horizontal="center" vertical="center" wrapText="1"/>
    </xf>
    <xf numFmtId="4" fontId="13" fillId="0" borderId="17" xfId="0" applyNumberFormat="1" applyFont="1" applyBorder="1" applyAlignment="1">
      <alignment horizontal="center" vertical="center" wrapText="1"/>
    </xf>
    <xf numFmtId="0" fontId="10" fillId="0" borderId="17" xfId="64" applyFont="1" applyBorder="1" applyAlignment="1">
      <alignment horizontal="center" vertical="center" wrapText="1"/>
      <protection/>
    </xf>
    <xf numFmtId="4" fontId="13" fillId="0" borderId="11" xfId="0" applyNumberFormat="1" applyFont="1" applyBorder="1" applyAlignment="1">
      <alignment horizontal="center" vertical="center"/>
    </xf>
    <xf numFmtId="4" fontId="13" fillId="0" borderId="17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4" fontId="40" fillId="0" borderId="11" xfId="64" applyNumberFormat="1" applyFont="1" applyFill="1" applyBorder="1" applyAlignment="1">
      <alignment horizontal="center" vertical="center"/>
      <protection/>
    </xf>
    <xf numFmtId="4" fontId="40" fillId="0" borderId="17" xfId="64" applyNumberFormat="1" applyFont="1" applyFill="1" applyBorder="1" applyAlignment="1">
      <alignment horizontal="center" vertical="center"/>
      <protection/>
    </xf>
    <xf numFmtId="4" fontId="40" fillId="0" borderId="11" xfId="37" applyNumberFormat="1" applyFont="1" applyBorder="1" applyAlignment="1">
      <alignment horizontal="center" vertical="center"/>
      <protection/>
    </xf>
    <xf numFmtId="4" fontId="40" fillId="0" borderId="17" xfId="37" applyNumberFormat="1" applyFont="1" applyBorder="1" applyAlignment="1">
      <alignment horizontal="center" vertical="center"/>
      <protection/>
    </xf>
    <xf numFmtId="4" fontId="40" fillId="0" borderId="11" xfId="37" applyNumberFormat="1" applyFont="1" applyBorder="1" applyAlignment="1">
      <alignment horizontal="center" vertical="center" wrapText="1"/>
      <protection/>
    </xf>
    <xf numFmtId="4" fontId="40" fillId="0" borderId="17" xfId="37" applyNumberFormat="1" applyFont="1" applyBorder="1" applyAlignment="1">
      <alignment horizontal="center" vertical="center" wrapText="1"/>
      <protection/>
    </xf>
    <xf numFmtId="0" fontId="35" fillId="0" borderId="14" xfId="64" applyFont="1" applyFill="1" applyBorder="1" applyAlignment="1">
      <alignment horizontal="center" vertical="center"/>
      <protection/>
    </xf>
    <xf numFmtId="0" fontId="35" fillId="0" borderId="41" xfId="64" applyFont="1" applyFill="1" applyBorder="1" applyAlignment="1">
      <alignment horizontal="center" vertical="center"/>
      <protection/>
    </xf>
    <xf numFmtId="0" fontId="35" fillId="0" borderId="26" xfId="64" applyFont="1" applyFill="1" applyBorder="1" applyAlignment="1">
      <alignment horizontal="center" vertical="center"/>
      <protection/>
    </xf>
    <xf numFmtId="0" fontId="39" fillId="0" borderId="10" xfId="64" applyFont="1" applyBorder="1" applyAlignment="1">
      <alignment horizontal="left" wrapText="1"/>
      <protection/>
    </xf>
    <xf numFmtId="0" fontId="39" fillId="0" borderId="10" xfId="64" applyFont="1" applyBorder="1" applyAlignment="1">
      <alignment horizontal="left"/>
      <protection/>
    </xf>
    <xf numFmtId="0" fontId="39" fillId="0" borderId="14" xfId="64" applyFont="1" applyBorder="1" applyAlignment="1">
      <alignment horizontal="left"/>
      <protection/>
    </xf>
    <xf numFmtId="0" fontId="39" fillId="0" borderId="41" xfId="64" applyFont="1" applyBorder="1" applyAlignment="1">
      <alignment horizontal="left"/>
      <protection/>
    </xf>
    <xf numFmtId="0" fontId="39" fillId="0" borderId="26" xfId="64" applyFont="1" applyBorder="1" applyAlignment="1">
      <alignment horizontal="left"/>
      <protection/>
    </xf>
    <xf numFmtId="0" fontId="39" fillId="0" borderId="10" xfId="64" applyFont="1" applyBorder="1" applyAlignment="1">
      <alignment horizontal="center"/>
      <protection/>
    </xf>
    <xf numFmtId="0" fontId="13" fillId="21" borderId="10" xfId="38" applyFont="1" applyFill="1" applyBorder="1" applyAlignment="1">
      <alignment horizontal="center" vertical="center" wrapText="1"/>
      <protection/>
    </xf>
    <xf numFmtId="0" fontId="13" fillId="21" borderId="30" xfId="38" applyFont="1" applyFill="1" applyBorder="1" applyAlignment="1">
      <alignment horizontal="center" vertical="center" wrapText="1"/>
      <protection/>
    </xf>
    <xf numFmtId="0" fontId="13" fillId="21" borderId="33" xfId="38" applyFont="1" applyFill="1" applyBorder="1" applyAlignment="1">
      <alignment horizontal="center" vertical="center" wrapText="1"/>
      <protection/>
    </xf>
    <xf numFmtId="0" fontId="13" fillId="21" borderId="13" xfId="38" applyFont="1" applyFill="1" applyBorder="1" applyAlignment="1">
      <alignment horizontal="center" vertical="center" wrapText="1"/>
      <protection/>
    </xf>
    <xf numFmtId="49" fontId="13" fillId="21" borderId="29" xfId="38" applyNumberFormat="1" applyFont="1" applyFill="1" applyBorder="1" applyAlignment="1">
      <alignment horizontal="center" vertical="center" wrapText="1"/>
      <protection/>
    </xf>
    <xf numFmtId="49" fontId="13" fillId="21" borderId="12" xfId="38" applyNumberFormat="1" applyFont="1" applyFill="1" applyBorder="1" applyAlignment="1">
      <alignment horizontal="center" vertical="center" wrapText="1"/>
      <protection/>
    </xf>
    <xf numFmtId="49" fontId="13" fillId="21" borderId="32" xfId="38" applyNumberFormat="1" applyFont="1" applyFill="1" applyBorder="1" applyAlignment="1">
      <alignment horizontal="center" vertical="center" wrapText="1"/>
      <protection/>
    </xf>
    <xf numFmtId="185" fontId="13" fillId="21" borderId="31" xfId="38" applyNumberFormat="1" applyFont="1" applyFill="1" applyBorder="1" applyAlignment="1">
      <alignment horizontal="center" vertical="center" wrapText="1"/>
      <protection/>
    </xf>
    <xf numFmtId="0" fontId="13" fillId="21" borderId="29" xfId="38" applyFont="1" applyFill="1" applyBorder="1" applyAlignment="1">
      <alignment horizontal="center" vertical="center" wrapText="1"/>
      <protection/>
    </xf>
    <xf numFmtId="0" fontId="13" fillId="21" borderId="31" xfId="38" applyFont="1" applyFill="1" applyBorder="1" applyAlignment="1">
      <alignment horizontal="center" vertical="center" wrapText="1"/>
      <protection/>
    </xf>
    <xf numFmtId="0" fontId="40" fillId="21" borderId="29" xfId="36" applyFont="1" applyFill="1" applyBorder="1" applyAlignment="1">
      <alignment horizontal="center" vertical="center" wrapText="1"/>
      <protection/>
    </xf>
    <xf numFmtId="0" fontId="40" fillId="21" borderId="30" xfId="36" applyFont="1" applyFill="1" applyBorder="1" applyAlignment="1">
      <alignment horizontal="center" vertical="center" wrapText="1"/>
      <protection/>
    </xf>
    <xf numFmtId="0" fontId="40" fillId="21" borderId="31" xfId="36" applyFont="1" applyFill="1" applyBorder="1" applyAlignment="1">
      <alignment horizontal="center" vertical="center" wrapText="1"/>
      <protection/>
    </xf>
    <xf numFmtId="0" fontId="40" fillId="21" borderId="12" xfId="36" applyFont="1" applyFill="1" applyBorder="1" applyAlignment="1">
      <alignment horizontal="center" vertical="center" wrapText="1"/>
      <protection/>
    </xf>
    <xf numFmtId="0" fontId="40" fillId="21" borderId="10" xfId="36" applyFont="1" applyFill="1" applyBorder="1" applyAlignment="1">
      <alignment horizontal="center" vertical="center" wrapText="1"/>
      <protection/>
    </xf>
    <xf numFmtId="0" fontId="40" fillId="21" borderId="13" xfId="36" applyFont="1" applyFill="1" applyBorder="1" applyAlignment="1">
      <alignment horizontal="center" vertical="center" wrapText="1"/>
      <protection/>
    </xf>
    <xf numFmtId="0" fontId="40" fillId="21" borderId="32" xfId="36" applyFont="1" applyFill="1" applyBorder="1" applyAlignment="1">
      <alignment horizontal="center" vertical="center" wrapText="1"/>
      <protection/>
    </xf>
    <xf numFmtId="0" fontId="40" fillId="21" borderId="33" xfId="36" applyFont="1" applyFill="1" applyBorder="1" applyAlignment="1">
      <alignment horizontal="center" vertical="center" wrapText="1"/>
      <protection/>
    </xf>
    <xf numFmtId="0" fontId="40" fillId="21" borderId="34" xfId="36" applyFont="1" applyFill="1" applyBorder="1" applyAlignment="1">
      <alignment horizontal="center" vertical="center" wrapText="1"/>
      <protection/>
    </xf>
    <xf numFmtId="0" fontId="13" fillId="21" borderId="12" xfId="38" applyFont="1" applyFill="1" applyBorder="1" applyAlignment="1">
      <alignment horizontal="center" vertical="center" wrapText="1"/>
      <protection/>
    </xf>
    <xf numFmtId="0" fontId="35" fillId="21" borderId="42" xfId="38" applyFont="1" applyFill="1" applyBorder="1" applyAlignment="1" applyProtection="1">
      <alignment horizontal="center" vertical="center" wrapText="1"/>
      <protection/>
    </xf>
    <xf numFmtId="0" fontId="35" fillId="21" borderId="43" xfId="38" applyFont="1" applyFill="1" applyBorder="1" applyAlignment="1" applyProtection="1">
      <alignment horizontal="center" vertical="center" wrapText="1"/>
      <protection/>
    </xf>
    <xf numFmtId="2" fontId="13" fillId="21" borderId="35" xfId="38" applyNumberFormat="1" applyFont="1" applyFill="1" applyBorder="1" applyAlignment="1">
      <alignment horizontal="center" vertical="center" wrapText="1"/>
      <protection/>
    </xf>
    <xf numFmtId="0" fontId="13" fillId="21" borderId="14" xfId="38" applyFont="1" applyFill="1" applyBorder="1" applyAlignment="1">
      <alignment horizontal="center" vertical="center" wrapText="1"/>
      <protection/>
    </xf>
    <xf numFmtId="0" fontId="13" fillId="21" borderId="36" xfId="38" applyFont="1" applyFill="1" applyBorder="1" applyAlignment="1">
      <alignment horizontal="center" vertical="center" wrapText="1"/>
      <protection/>
    </xf>
    <xf numFmtId="0" fontId="13" fillId="21" borderId="32" xfId="38" applyFont="1" applyFill="1" applyBorder="1" applyAlignment="1">
      <alignment horizontal="center" vertical="center" wrapText="1"/>
      <protection/>
    </xf>
    <xf numFmtId="4" fontId="13" fillId="21" borderId="10" xfId="38" applyNumberFormat="1" applyFont="1" applyFill="1" applyBorder="1" applyAlignment="1">
      <alignment horizontal="center" vertical="center" wrapText="1"/>
      <protection/>
    </xf>
    <xf numFmtId="4" fontId="13" fillId="21" borderId="33" xfId="38" applyNumberFormat="1" applyFont="1" applyFill="1" applyBorder="1" applyAlignment="1">
      <alignment horizontal="center" vertical="center" wrapText="1"/>
      <protection/>
    </xf>
    <xf numFmtId="0" fontId="13" fillId="21" borderId="34" xfId="38" applyFont="1" applyFill="1" applyBorder="1" applyAlignment="1">
      <alignment horizontal="center" vertical="center" wrapText="1"/>
      <protection/>
    </xf>
    <xf numFmtId="0" fontId="13" fillId="0" borderId="0" xfId="63" applyFont="1" applyAlignment="1" applyProtection="1">
      <alignment horizontal="left" vertical="center"/>
      <protection hidden="1"/>
    </xf>
    <xf numFmtId="49" fontId="13" fillId="0" borderId="0" xfId="38" applyNumberFormat="1" applyFont="1" applyFill="1" applyBorder="1" applyAlignment="1">
      <alignment horizontal="left" vertical="center"/>
      <protection/>
    </xf>
    <xf numFmtId="0" fontId="13" fillId="21" borderId="44" xfId="38" applyFont="1" applyFill="1" applyBorder="1" applyAlignment="1">
      <alignment horizontal="center" vertical="center" wrapText="1"/>
      <protection/>
    </xf>
    <xf numFmtId="0" fontId="13" fillId="21" borderId="26" xfId="38" applyFont="1" applyFill="1" applyBorder="1" applyAlignment="1">
      <alignment horizontal="center" vertical="center" wrapText="1"/>
      <protection/>
    </xf>
    <xf numFmtId="0" fontId="13" fillId="21" borderId="45" xfId="38" applyFont="1" applyFill="1" applyBorder="1" applyAlignment="1">
      <alignment horizontal="center" vertical="center" wrapText="1"/>
      <protection/>
    </xf>
    <xf numFmtId="0" fontId="35" fillId="9" borderId="15" xfId="39" applyFont="1" applyFill="1" applyBorder="1" applyAlignment="1">
      <alignment horizontal="left" vertical="center" wrapText="1"/>
      <protection/>
    </xf>
    <xf numFmtId="0" fontId="35" fillId="9" borderId="16" xfId="39" applyFont="1" applyFill="1" applyBorder="1" applyAlignment="1">
      <alignment horizontal="left" vertical="center" wrapText="1"/>
      <protection/>
    </xf>
    <xf numFmtId="2" fontId="13" fillId="21" borderId="13" xfId="38" applyNumberFormat="1" applyFont="1" applyFill="1" applyBorder="1" applyAlignment="1">
      <alignment horizontal="center" vertical="center" wrapText="1"/>
      <protection/>
    </xf>
    <xf numFmtId="2" fontId="13" fillId="21" borderId="34" xfId="38" applyNumberFormat="1" applyFont="1" applyFill="1" applyBorder="1" applyAlignment="1">
      <alignment horizontal="center" vertical="center" wrapText="1"/>
      <protection/>
    </xf>
    <xf numFmtId="2" fontId="13" fillId="21" borderId="10" xfId="38" applyNumberFormat="1" applyFont="1" applyFill="1" applyBorder="1" applyAlignment="1">
      <alignment horizontal="center" vertical="center" wrapText="1"/>
      <protection/>
    </xf>
    <xf numFmtId="2" fontId="13" fillId="21" borderId="33" xfId="38" applyNumberFormat="1" applyFont="1" applyFill="1" applyBorder="1" applyAlignment="1">
      <alignment horizontal="center" vertical="center" wrapText="1"/>
      <protection/>
    </xf>
    <xf numFmtId="0" fontId="37" fillId="9" borderId="46" xfId="39" applyFont="1" applyFill="1" applyBorder="1" applyAlignment="1">
      <alignment vertical="center" wrapText="1"/>
      <protection/>
    </xf>
    <xf numFmtId="0" fontId="37" fillId="9" borderId="44" xfId="39" applyFont="1" applyFill="1" applyBorder="1" applyAlignment="1">
      <alignment vertical="center" wrapText="1"/>
      <protection/>
    </xf>
    <xf numFmtId="0" fontId="35" fillId="20" borderId="10" xfId="39" applyFont="1" applyFill="1" applyBorder="1" applyAlignment="1">
      <alignment horizontal="left" vertical="center" wrapText="1"/>
      <protection/>
    </xf>
    <xf numFmtId="0" fontId="35" fillId="20" borderId="14" xfId="39" applyFont="1" applyFill="1" applyBorder="1" applyAlignment="1">
      <alignment horizontal="left" vertical="center" wrapText="1"/>
      <protection/>
    </xf>
    <xf numFmtId="0" fontId="37" fillId="9" borderId="19" xfId="39" applyFont="1" applyFill="1" applyBorder="1" applyAlignment="1">
      <alignment horizontal="left"/>
      <protection/>
    </xf>
    <xf numFmtId="0" fontId="37" fillId="9" borderId="17" xfId="39" applyFont="1" applyFill="1" applyBorder="1" applyAlignment="1">
      <alignment horizontal="left"/>
      <protection/>
    </xf>
    <xf numFmtId="0" fontId="13" fillId="0" borderId="10" xfId="38" applyFont="1" applyFill="1" applyBorder="1" applyAlignment="1">
      <alignment horizontal="center" vertical="center"/>
      <protection/>
    </xf>
    <xf numFmtId="0" fontId="13" fillId="0" borderId="11" xfId="38" applyFont="1" applyFill="1" applyBorder="1" applyAlignment="1">
      <alignment horizontal="center" vertical="center"/>
      <protection/>
    </xf>
    <xf numFmtId="0" fontId="13" fillId="0" borderId="39" xfId="38" applyFont="1" applyFill="1" applyBorder="1" applyAlignment="1">
      <alignment horizontal="center" vertical="center"/>
      <protection/>
    </xf>
    <xf numFmtId="0" fontId="13" fillId="0" borderId="17" xfId="38" applyFont="1" applyFill="1" applyBorder="1" applyAlignment="1">
      <alignment horizontal="center" vertical="center"/>
      <protection/>
    </xf>
    <xf numFmtId="0" fontId="13" fillId="0" borderId="11" xfId="38" applyNumberFormat="1" applyFont="1" applyFill="1" applyBorder="1" applyAlignment="1" applyProtection="1">
      <alignment horizontal="center" vertical="center"/>
      <protection/>
    </xf>
    <xf numFmtId="0" fontId="13" fillId="0" borderId="39" xfId="38" applyNumberFormat="1" applyFont="1" applyFill="1" applyBorder="1" applyAlignment="1" applyProtection="1">
      <alignment horizontal="center" vertical="center"/>
      <protection/>
    </xf>
    <xf numFmtId="0" fontId="13" fillId="0" borderId="17" xfId="38" applyNumberFormat="1" applyFont="1" applyFill="1" applyBorder="1" applyAlignment="1" applyProtection="1">
      <alignment horizontal="center" vertical="center"/>
      <protection/>
    </xf>
    <xf numFmtId="2" fontId="13" fillId="2" borderId="13" xfId="39" applyNumberFormat="1" applyFont="1" applyFill="1" applyBorder="1" applyAlignment="1">
      <alignment horizontal="center" vertical="center" wrapText="1"/>
      <protection/>
    </xf>
    <xf numFmtId="0" fontId="13" fillId="21" borderId="11" xfId="38" applyFont="1" applyFill="1" applyBorder="1" applyAlignment="1">
      <alignment horizontal="center" vertical="center"/>
      <protection/>
    </xf>
    <xf numFmtId="0" fontId="13" fillId="21" borderId="39" xfId="38" applyFont="1" applyFill="1" applyBorder="1" applyAlignment="1">
      <alignment horizontal="center" vertical="center"/>
      <protection/>
    </xf>
    <xf numFmtId="0" fontId="13" fillId="21" borderId="17" xfId="38" applyFont="1" applyFill="1" applyBorder="1" applyAlignment="1">
      <alignment horizontal="center" vertical="center"/>
      <protection/>
    </xf>
    <xf numFmtId="0" fontId="13" fillId="21" borderId="11" xfId="38" applyFont="1" applyFill="1" applyBorder="1" applyAlignment="1">
      <alignment horizontal="center" vertical="center" wrapText="1"/>
      <protection/>
    </xf>
    <xf numFmtId="0" fontId="13" fillId="21" borderId="39" xfId="38" applyFont="1" applyFill="1" applyBorder="1" applyAlignment="1">
      <alignment horizontal="center" vertical="center" wrapText="1"/>
      <protection/>
    </xf>
    <xf numFmtId="0" fontId="13" fillId="21" borderId="17" xfId="38" applyFont="1" applyFill="1" applyBorder="1" applyAlignment="1">
      <alignment horizontal="center" vertical="center" wrapText="1"/>
      <protection/>
    </xf>
    <xf numFmtId="0" fontId="13" fillId="0" borderId="11" xfId="38" applyFont="1" applyFill="1" applyBorder="1" applyAlignment="1">
      <alignment horizontal="center" vertical="center" wrapText="1"/>
      <protection/>
    </xf>
    <xf numFmtId="0" fontId="13" fillId="0" borderId="39" xfId="38" applyFont="1" applyFill="1" applyBorder="1" applyAlignment="1">
      <alignment horizontal="center" vertical="center" wrapText="1"/>
      <protection/>
    </xf>
    <xf numFmtId="0" fontId="13" fillId="0" borderId="17" xfId="38" applyFont="1" applyFill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center" vertical="center" wrapText="1"/>
    </xf>
  </cellXfs>
  <cellStyles count="67">
    <cellStyle name="Normal" xfId="0"/>
    <cellStyle name="RowLevel_1" xfId="3"/>
    <cellStyle name="0,0&#13;&#10;NA&#13;&#10;" xfId="15"/>
    <cellStyle name="0,0&#13;&#10;NA&#13;&#10; 2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Iau?iue" xfId="35"/>
    <cellStyle name="Iau?iue_445583" xfId="36"/>
    <cellStyle name="Iau?iue_Инвест АСУ ТП 2012 (+2011)  2" xfId="37"/>
    <cellStyle name="Iau?iue_Копия Invest 2011Чернігівобленерго_16 поквартально  с изм. НКРЕ" xfId="38"/>
    <cellStyle name="Iau?iue_Копия Invest 2011Чернігівобленерго_16 поквартально  с изм. НКРЕ 2" xfId="39"/>
    <cellStyle name="Iau?iue_Копия Invest на 2012  17.02.2012-таблица5 стис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Обычный 3" xfId="62"/>
    <cellStyle name="Обычный_nkre1" xfId="63"/>
    <cellStyle name="Обычный_proekt_regul322_zm_d_1" xfId="64"/>
    <cellStyle name="Обычный_новий шаблон ф.132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Процентный 2" xfId="71"/>
    <cellStyle name="Процентный 3" xfId="72"/>
    <cellStyle name="Связанная ячейка" xfId="73"/>
    <cellStyle name="Стиль 1" xfId="74"/>
    <cellStyle name="Стиль 1 2" xfId="75"/>
    <cellStyle name="Текст предупреждения" xfId="76"/>
    <cellStyle name="Comma" xfId="77"/>
    <cellStyle name="Comma [0]" xfId="78"/>
    <cellStyle name="Хороший" xfId="79"/>
  </cellStyles>
  <dxfs count="4"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50"/>
        </patternFill>
      </fill>
    </dxf>
    <dxf>
      <font>
        <color rgb="FFFFFFFF"/>
      </font>
      <fill>
        <patternFill>
          <bgColor rgb="FF99CC00"/>
        </patternFill>
      </fill>
      <border/>
    </dxf>
    <dxf>
      <font>
        <color rgb="FFFFFFFF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X32"/>
  <sheetViews>
    <sheetView view="pageBreakPreview" zoomScaleSheetLayoutView="100" zoomScalePageLayoutView="0" workbookViewId="0" topLeftCell="A4">
      <selection activeCell="E9" sqref="E9"/>
    </sheetView>
  </sheetViews>
  <sheetFormatPr defaultColWidth="8.75390625" defaultRowHeight="12.75" outlineLevelRow="1"/>
  <cols>
    <col min="1" max="1" width="5.25390625" style="3" customWidth="1"/>
    <col min="2" max="2" width="31.625" style="3" customWidth="1"/>
    <col min="3" max="3" width="18.00390625" style="3" customWidth="1"/>
    <col min="4" max="4" width="13.875" style="3" customWidth="1"/>
    <col min="5" max="5" width="17.875" style="3" customWidth="1"/>
    <col min="6" max="6" width="10.875" style="3" customWidth="1"/>
    <col min="7" max="7" width="17.75390625" style="3" customWidth="1"/>
    <col min="8" max="8" width="18.125" style="3" customWidth="1"/>
    <col min="9" max="9" width="18.375" style="3" customWidth="1"/>
    <col min="10" max="10" width="18.00390625" style="3" customWidth="1"/>
    <col min="11" max="11" width="8.75390625" style="3" customWidth="1"/>
    <col min="12" max="13" width="9.125" style="3" bestFit="1" customWidth="1"/>
    <col min="14" max="16384" width="8.75390625" style="3" customWidth="1"/>
  </cols>
  <sheetData>
    <row r="1" spans="1:10" ht="25.5" customHeight="1">
      <c r="A1" s="857" t="s">
        <v>548</v>
      </c>
      <c r="B1" s="857"/>
      <c r="C1" s="857"/>
      <c r="D1" s="857"/>
      <c r="E1" s="857"/>
      <c r="F1" s="857"/>
      <c r="G1" s="857"/>
      <c r="H1" s="857"/>
      <c r="I1" s="857"/>
      <c r="J1" s="857"/>
    </row>
    <row r="2" spans="1:10" ht="15.75" customHeight="1">
      <c r="A2" s="851" t="s">
        <v>457</v>
      </c>
      <c r="B2" s="860" t="s">
        <v>458</v>
      </c>
      <c r="C2" s="859" t="s">
        <v>659</v>
      </c>
      <c r="D2" s="859"/>
      <c r="E2" s="858" t="s">
        <v>371</v>
      </c>
      <c r="F2" s="858"/>
      <c r="G2" s="858"/>
      <c r="H2" s="858"/>
      <c r="I2" s="858"/>
      <c r="J2" s="858"/>
    </row>
    <row r="3" spans="1:10" ht="18" customHeight="1">
      <c r="A3" s="852"/>
      <c r="B3" s="860"/>
      <c r="C3" s="859"/>
      <c r="D3" s="859"/>
      <c r="E3" s="861">
        <v>2016</v>
      </c>
      <c r="F3" s="861"/>
      <c r="G3" s="140">
        <v>2017</v>
      </c>
      <c r="H3" s="140">
        <v>2018</v>
      </c>
      <c r="I3" s="140">
        <v>2019</v>
      </c>
      <c r="J3" s="140">
        <v>2020</v>
      </c>
    </row>
    <row r="4" spans="1:10" ht="14.25" customHeight="1">
      <c r="A4" s="853"/>
      <c r="B4" s="860"/>
      <c r="C4" s="137" t="s">
        <v>321</v>
      </c>
      <c r="D4" s="137" t="s">
        <v>460</v>
      </c>
      <c r="E4" s="137" t="s">
        <v>321</v>
      </c>
      <c r="F4" s="137" t="s">
        <v>460</v>
      </c>
      <c r="G4" s="137" t="s">
        <v>321</v>
      </c>
      <c r="H4" s="137" t="s">
        <v>321</v>
      </c>
      <c r="I4" s="137" t="s">
        <v>321</v>
      </c>
      <c r="J4" s="132" t="s">
        <v>321</v>
      </c>
    </row>
    <row r="5" spans="1:14" ht="51.75" customHeight="1">
      <c r="A5" s="141">
        <v>1</v>
      </c>
      <c r="B5" s="142" t="s">
        <v>36</v>
      </c>
      <c r="C5" s="143">
        <f aca="true" t="shared" si="0" ref="C5:C11">E5+G5+H5+I5+J5</f>
        <v>362944.66219255</v>
      </c>
      <c r="D5" s="144">
        <f>IF(C12=0,0,C5/C12)</f>
        <v>0.749971146533965</v>
      </c>
      <c r="E5" s="143">
        <f>'6. Пров закупівлі'!F73</f>
        <v>54236.414500000006</v>
      </c>
      <c r="F5" s="144">
        <f>IF(E12=0,0,E5/E12)</f>
        <v>0.7499711465339649</v>
      </c>
      <c r="G5" s="143">
        <f>E5*1.2</f>
        <v>65083.697400000005</v>
      </c>
      <c r="H5" s="143">
        <f>G5*1.15</f>
        <v>74846.25201</v>
      </c>
      <c r="I5" s="143">
        <f>H5*1.1</f>
        <v>82330.877211</v>
      </c>
      <c r="J5" s="143">
        <f>I5*1.05</f>
        <v>86447.42107155001</v>
      </c>
      <c r="L5" s="21"/>
      <c r="M5" s="21"/>
      <c r="N5" s="20"/>
    </row>
    <row r="6" spans="1:10" ht="41.25" customHeight="1">
      <c r="A6" s="141">
        <v>2</v>
      </c>
      <c r="B6" s="142" t="s">
        <v>372</v>
      </c>
      <c r="C6" s="143">
        <f t="shared" si="0"/>
        <v>43542.11881100001</v>
      </c>
      <c r="D6" s="144">
        <f>IF(C12=0,0,C6/C12)</f>
        <v>0.08997331044885139</v>
      </c>
      <c r="E6" s="143">
        <f>'6. Пров закупівлі'!F100</f>
        <v>6506.6900000000005</v>
      </c>
      <c r="F6" s="144">
        <f>IF(E12=0,0,E6/E12)</f>
        <v>0.08997331044885137</v>
      </c>
      <c r="G6" s="143">
        <f aca="true" t="shared" si="1" ref="G6:G11">E6*1.2</f>
        <v>7808.028</v>
      </c>
      <c r="H6" s="143">
        <f aca="true" t="shared" si="2" ref="H6:H11">G6*1.15</f>
        <v>8979.2322</v>
      </c>
      <c r="I6" s="143">
        <f aca="true" t="shared" si="3" ref="I6:I11">H6*1.1</f>
        <v>9877.155420000001</v>
      </c>
      <c r="J6" s="143">
        <f aca="true" t="shared" si="4" ref="J6:J11">I6*1.05</f>
        <v>10371.013191000002</v>
      </c>
    </row>
    <row r="7" spans="1:10" ht="62.25" customHeight="1">
      <c r="A7" s="141">
        <v>3</v>
      </c>
      <c r="B7" s="142" t="s">
        <v>373</v>
      </c>
      <c r="C7" s="143">
        <f t="shared" si="0"/>
        <v>8574.0704859</v>
      </c>
      <c r="D7" s="144">
        <f>IF(C12=0,0,C7/C12)</f>
        <v>0.01771704103299923</v>
      </c>
      <c r="E7" s="143">
        <f>'6. Пров закупівлі'!F145</f>
        <v>1281.2610000000002</v>
      </c>
      <c r="F7" s="144">
        <f>IF(E12=0,0,E7/E12)</f>
        <v>0.01771704103299923</v>
      </c>
      <c r="G7" s="143">
        <f t="shared" si="1"/>
        <v>1537.5132</v>
      </c>
      <c r="H7" s="143">
        <f t="shared" si="2"/>
        <v>1768.1401799999999</v>
      </c>
      <c r="I7" s="143">
        <f t="shared" si="3"/>
        <v>1944.954198</v>
      </c>
      <c r="J7" s="143">
        <f t="shared" si="4"/>
        <v>2042.2019079</v>
      </c>
    </row>
    <row r="8" spans="1:10" ht="30.75" customHeight="1">
      <c r="A8" s="141">
        <v>4</v>
      </c>
      <c r="B8" s="142" t="s">
        <v>461</v>
      </c>
      <c r="C8" s="143">
        <f t="shared" si="0"/>
        <v>36187.11843999999</v>
      </c>
      <c r="D8" s="144">
        <f>IF(C12=0,0,C8/C12)</f>
        <v>0.07477529643846696</v>
      </c>
      <c r="E8" s="143">
        <f>'6. Пров закупівлі'!F200</f>
        <v>5407.599999999999</v>
      </c>
      <c r="F8" s="144">
        <f>IF(E12=0,0,E8/E12)</f>
        <v>0.07477529643846696</v>
      </c>
      <c r="G8" s="143">
        <f t="shared" si="1"/>
        <v>6489.119999999999</v>
      </c>
      <c r="H8" s="143">
        <f t="shared" si="2"/>
        <v>7462.4879999999985</v>
      </c>
      <c r="I8" s="143">
        <f t="shared" si="3"/>
        <v>8208.736799999999</v>
      </c>
      <c r="J8" s="143">
        <f t="shared" si="4"/>
        <v>8619.173639999999</v>
      </c>
    </row>
    <row r="9" spans="1:10" ht="30" customHeight="1">
      <c r="A9" s="141">
        <v>5</v>
      </c>
      <c r="B9" s="142" t="s">
        <v>374</v>
      </c>
      <c r="C9" s="143">
        <f t="shared" si="0"/>
        <v>3680.545</v>
      </c>
      <c r="D9" s="144">
        <f>IF(C12=0,0,C9/C12)</f>
        <v>0.007605298661357504</v>
      </c>
      <c r="E9" s="143">
        <f>'6. Пров закупівлі'!F226</f>
        <v>550</v>
      </c>
      <c r="F9" s="144">
        <f>IF(E12=0,0,E9/E12)</f>
        <v>0.007605298661357503</v>
      </c>
      <c r="G9" s="143">
        <f t="shared" si="1"/>
        <v>660</v>
      </c>
      <c r="H9" s="143">
        <f t="shared" si="2"/>
        <v>758.9999999999999</v>
      </c>
      <c r="I9" s="143">
        <f t="shared" si="3"/>
        <v>834.9</v>
      </c>
      <c r="J9" s="143">
        <f t="shared" si="4"/>
        <v>876.645</v>
      </c>
    </row>
    <row r="10" spans="1:10" ht="28.5" customHeight="1">
      <c r="A10" s="141">
        <v>6</v>
      </c>
      <c r="B10" s="142" t="s">
        <v>375</v>
      </c>
      <c r="C10" s="133">
        <f t="shared" si="0"/>
        <v>14848.523072</v>
      </c>
      <c r="D10" s="144">
        <f>IF(C12=0,0,C10/C12)</f>
        <v>0.030682263806750796</v>
      </c>
      <c r="E10" s="133">
        <f>'6. Пров закупівлі'!F238</f>
        <v>2218.88</v>
      </c>
      <c r="F10" s="144">
        <f>IF(E12=0,0,E10/E12)</f>
        <v>0.030682263806750796</v>
      </c>
      <c r="G10" s="143">
        <f t="shared" si="1"/>
        <v>2662.656</v>
      </c>
      <c r="H10" s="143">
        <f t="shared" si="2"/>
        <v>3062.0543999999995</v>
      </c>
      <c r="I10" s="143">
        <f t="shared" si="3"/>
        <v>3368.2598399999997</v>
      </c>
      <c r="J10" s="143">
        <f t="shared" si="4"/>
        <v>3536.6728319999997</v>
      </c>
    </row>
    <row r="11" spans="1:13" ht="27.75" customHeight="1">
      <c r="A11" s="141">
        <v>7</v>
      </c>
      <c r="B11" s="142" t="s">
        <v>462</v>
      </c>
      <c r="C11" s="133">
        <f t="shared" si="0"/>
        <v>14167.796236400001</v>
      </c>
      <c r="D11" s="144">
        <f>IF(C12=0,0,C11/C12)</f>
        <v>0.029275643077609107</v>
      </c>
      <c r="E11" s="133">
        <f>'6. Пров закупівлі'!F266</f>
        <v>2117.156</v>
      </c>
      <c r="F11" s="144">
        <f>IF(E12=0,0,E11/E12)</f>
        <v>0.0292756430776091</v>
      </c>
      <c r="G11" s="143">
        <f t="shared" si="1"/>
        <v>2540.5872</v>
      </c>
      <c r="H11" s="143">
        <f t="shared" si="2"/>
        <v>2921.67528</v>
      </c>
      <c r="I11" s="143">
        <f t="shared" si="3"/>
        <v>3213.8428080000003</v>
      </c>
      <c r="J11" s="143">
        <f t="shared" si="4"/>
        <v>3374.5349484000003</v>
      </c>
      <c r="M11" s="21"/>
    </row>
    <row r="12" spans="1:10" ht="18" customHeight="1">
      <c r="A12" s="854" t="s">
        <v>525</v>
      </c>
      <c r="B12" s="855"/>
      <c r="C12" s="143">
        <f>C5+C6+C7+C8+C9+C10+C11</f>
        <v>483944.83423785004</v>
      </c>
      <c r="D12" s="144">
        <f>SUM(D5:D11)</f>
        <v>0.9999999999999999</v>
      </c>
      <c r="E12" s="143">
        <f>SUM(E5:E11)</f>
        <v>72318.00150000001</v>
      </c>
      <c r="F12" s="144">
        <v>0.9999999999999999</v>
      </c>
      <c r="G12" s="143">
        <f>G5+G6+G7+G8+G9+G10+G11</f>
        <v>86781.6018</v>
      </c>
      <c r="H12" s="143">
        <f>H5+H6+H7+H8+H9+H10+H11</f>
        <v>99798.84206999998</v>
      </c>
      <c r="I12" s="143">
        <f>I5+I6+I7+I8+I9+I10+I11</f>
        <v>109778.726277</v>
      </c>
      <c r="J12" s="143">
        <f>J5+J6+J7+J8+J9+J10+J11</f>
        <v>115267.66259085001</v>
      </c>
    </row>
    <row r="13" spans="1:12" s="1" customFormat="1" ht="12.75">
      <c r="A13" s="145"/>
      <c r="B13" s="145"/>
      <c r="C13" s="145"/>
      <c r="D13" s="146"/>
      <c r="E13" s="145"/>
      <c r="F13" s="145"/>
      <c r="G13" s="145"/>
      <c r="H13" s="145"/>
      <c r="I13" s="145"/>
      <c r="J13" s="145"/>
      <c r="L13" s="30"/>
    </row>
    <row r="14" spans="1:10" s="18" customFormat="1" ht="15" customHeight="1">
      <c r="A14" s="147"/>
      <c r="B14" s="135"/>
      <c r="C14" s="147"/>
      <c r="D14" s="148"/>
      <c r="E14" s="149"/>
      <c r="F14" s="147"/>
      <c r="G14" s="147"/>
      <c r="H14" s="147"/>
      <c r="I14" s="147"/>
      <c r="J14" s="147"/>
    </row>
    <row r="15" spans="1:50" s="16" customFormat="1" ht="33.75" customHeight="1">
      <c r="A15" s="150"/>
      <c r="B15" s="126" t="s">
        <v>97</v>
      </c>
      <c r="C15" s="125"/>
      <c r="D15" s="127" t="s">
        <v>419</v>
      </c>
      <c r="E15" s="151"/>
      <c r="F15" s="127"/>
      <c r="G15" s="128" t="s">
        <v>98</v>
      </c>
      <c r="H15" s="152"/>
      <c r="I15" s="153"/>
      <c r="J15" s="154"/>
      <c r="K15" s="10"/>
      <c r="L15" s="11"/>
      <c r="M15" s="10"/>
      <c r="N15" s="11"/>
      <c r="O15" s="10"/>
      <c r="P15" s="11"/>
      <c r="Q15" s="10"/>
      <c r="R15" s="11"/>
      <c r="S15" s="10"/>
      <c r="T15" s="11"/>
      <c r="U15" s="10"/>
      <c r="V15" s="11"/>
      <c r="W15" s="10"/>
      <c r="X15" s="11"/>
      <c r="Y15" s="10"/>
      <c r="Z15" s="11"/>
      <c r="AA15" s="10"/>
      <c r="AB15" s="11"/>
      <c r="AC15" s="10"/>
      <c r="AD15" s="11"/>
      <c r="AE15" s="10"/>
      <c r="AF15" s="11"/>
      <c r="AG15" s="10"/>
      <c r="AH15" s="11"/>
      <c r="AI15" s="10"/>
      <c r="AJ15" s="11"/>
      <c r="AK15" s="10"/>
      <c r="AL15" s="11"/>
      <c r="AM15" s="10"/>
      <c r="AN15" s="11"/>
      <c r="AO15" s="10"/>
      <c r="AP15" s="11"/>
      <c r="AQ15" s="10"/>
      <c r="AR15" s="11"/>
      <c r="AS15" s="11"/>
      <c r="AT15" s="12"/>
      <c r="AU15" s="13"/>
      <c r="AV15" s="13"/>
      <c r="AW15" s="14"/>
      <c r="AX15" s="15"/>
    </row>
    <row r="16" spans="1:10" s="19" customFormat="1" ht="15">
      <c r="A16" s="147"/>
      <c r="B16" s="129"/>
      <c r="C16" s="125"/>
      <c r="D16" s="127" t="s">
        <v>420</v>
      </c>
      <c r="E16" s="127"/>
      <c r="F16" s="127"/>
      <c r="G16" s="127" t="s">
        <v>521</v>
      </c>
      <c r="H16" s="155"/>
      <c r="I16" s="147"/>
      <c r="J16" s="147"/>
    </row>
    <row r="17" spans="1:10" s="19" customFormat="1" ht="15">
      <c r="A17" s="147"/>
      <c r="B17" s="129"/>
      <c r="C17" s="125"/>
      <c r="D17" s="127"/>
      <c r="E17" s="127"/>
      <c r="F17" s="127"/>
      <c r="G17" s="127"/>
      <c r="H17" s="155"/>
      <c r="I17" s="147"/>
      <c r="J17" s="147"/>
    </row>
    <row r="18" spans="1:10" s="19" customFormat="1" ht="15" outlineLevel="1">
      <c r="A18" s="147"/>
      <c r="B18" s="126" t="s">
        <v>154</v>
      </c>
      <c r="C18" s="125"/>
      <c r="D18" s="127" t="s">
        <v>419</v>
      </c>
      <c r="E18" s="151"/>
      <c r="F18" s="127"/>
      <c r="G18" s="128" t="s">
        <v>153</v>
      </c>
      <c r="H18" s="155"/>
      <c r="I18" s="147"/>
      <c r="J18" s="147"/>
    </row>
    <row r="19" spans="1:10" s="19" customFormat="1" ht="15" outlineLevel="1">
      <c r="A19" s="147"/>
      <c r="B19" s="129"/>
      <c r="C19" s="125"/>
      <c r="D19" s="127" t="s">
        <v>420</v>
      </c>
      <c r="E19" s="127"/>
      <c r="F19" s="127"/>
      <c r="G19" s="127" t="s">
        <v>521</v>
      </c>
      <c r="H19" s="155"/>
      <c r="I19" s="147"/>
      <c r="J19" s="147"/>
    </row>
    <row r="20" spans="1:10" s="19" customFormat="1" ht="15">
      <c r="A20" s="147"/>
      <c r="B20" s="129"/>
      <c r="C20" s="125"/>
      <c r="D20" s="127"/>
      <c r="E20" s="127"/>
      <c r="F20" s="127"/>
      <c r="G20" s="127"/>
      <c r="H20" s="155"/>
      <c r="I20" s="147"/>
      <c r="J20" s="147"/>
    </row>
    <row r="21" spans="1:10" ht="15">
      <c r="A21" s="156"/>
      <c r="B21" s="856" t="s">
        <v>421</v>
      </c>
      <c r="C21" s="856"/>
      <c r="D21" s="856"/>
      <c r="E21" s="130"/>
      <c r="F21" s="125"/>
      <c r="G21" s="125"/>
      <c r="H21" s="157"/>
      <c r="I21" s="156"/>
      <c r="J21" s="156"/>
    </row>
    <row r="22" spans="1:10" ht="15">
      <c r="A22" s="156"/>
      <c r="B22" s="131" t="s">
        <v>155</v>
      </c>
      <c r="C22" s="125"/>
      <c r="D22" s="125"/>
      <c r="E22" s="125"/>
      <c r="F22" s="125"/>
      <c r="G22" s="125"/>
      <c r="H22" s="158"/>
      <c r="I22" s="156"/>
      <c r="J22" s="156"/>
    </row>
    <row r="23" spans="1:10" ht="15">
      <c r="A23" s="156"/>
      <c r="B23" s="124"/>
      <c r="C23" s="125" t="s">
        <v>545</v>
      </c>
      <c r="D23" s="125"/>
      <c r="E23" s="159"/>
      <c r="F23" s="125"/>
      <c r="G23" s="125"/>
      <c r="H23" s="158"/>
      <c r="I23" s="156"/>
      <c r="J23" s="156"/>
    </row>
    <row r="24" spans="1:10" ht="14.25">
      <c r="A24" s="17"/>
      <c r="B24" s="43"/>
      <c r="C24" s="43"/>
      <c r="D24" s="43"/>
      <c r="E24" s="43"/>
      <c r="F24" s="43"/>
      <c r="G24" s="43"/>
      <c r="H24" s="44"/>
      <c r="I24" s="17"/>
      <c r="J24" s="17"/>
    </row>
    <row r="25" spans="1:10" ht="14.25">
      <c r="A25" s="17"/>
      <c r="B25" s="36"/>
      <c r="C25" s="36"/>
      <c r="D25" s="36"/>
      <c r="E25" s="36"/>
      <c r="F25" s="36"/>
      <c r="G25" s="36"/>
      <c r="H25" s="44"/>
      <c r="I25" s="17"/>
      <c r="J25" s="17"/>
    </row>
    <row r="26" spans="1:10" ht="15" hidden="1">
      <c r="A26" s="17"/>
      <c r="B26" s="34" t="s">
        <v>454</v>
      </c>
      <c r="C26" s="36"/>
      <c r="D26" s="38" t="s">
        <v>419</v>
      </c>
      <c r="E26" s="38"/>
      <c r="F26" s="38"/>
      <c r="G26" s="42" t="s">
        <v>455</v>
      </c>
      <c r="H26" s="44"/>
      <c r="I26" s="17"/>
      <c r="J26" s="17"/>
    </row>
    <row r="27" spans="1:10" ht="14.25" hidden="1">
      <c r="A27" s="17"/>
      <c r="B27" s="35"/>
      <c r="C27" s="36"/>
      <c r="D27" s="38" t="s">
        <v>420</v>
      </c>
      <c r="E27" s="38"/>
      <c r="F27" s="38"/>
      <c r="G27" s="38" t="s">
        <v>521</v>
      </c>
      <c r="H27" s="44"/>
      <c r="I27" s="17"/>
      <c r="J27" s="17"/>
    </row>
    <row r="28" spans="1:10" ht="14.25" hidden="1">
      <c r="A28" s="17"/>
      <c r="B28" s="35"/>
      <c r="C28" s="36"/>
      <c r="D28" s="36"/>
      <c r="E28" s="36"/>
      <c r="F28" s="36"/>
      <c r="G28" s="36"/>
      <c r="H28" s="44"/>
      <c r="I28" s="17"/>
      <c r="J28" s="17"/>
    </row>
    <row r="29" spans="1:10" ht="14.25" hidden="1">
      <c r="A29" s="17"/>
      <c r="B29" s="847" t="s">
        <v>421</v>
      </c>
      <c r="C29" s="847"/>
      <c r="D29" s="847"/>
      <c r="E29" s="39"/>
      <c r="F29" s="36"/>
      <c r="G29" s="36"/>
      <c r="H29" s="44"/>
      <c r="I29" s="17"/>
      <c r="J29" s="17"/>
    </row>
    <row r="30" spans="2:8" ht="14.25" hidden="1">
      <c r="B30" s="36"/>
      <c r="C30" s="36"/>
      <c r="D30" s="36"/>
      <c r="E30" s="36"/>
      <c r="F30" s="36"/>
      <c r="G30" s="36"/>
      <c r="H30" s="45"/>
    </row>
    <row r="31" spans="2:8" ht="14.25">
      <c r="B31" s="36"/>
      <c r="C31" s="36"/>
      <c r="D31" s="36"/>
      <c r="E31" s="36"/>
      <c r="F31" s="36"/>
      <c r="G31" s="36"/>
      <c r="H31" s="45"/>
    </row>
    <row r="32" spans="2:7" ht="12.75">
      <c r="B32" s="19"/>
      <c r="C32" s="19"/>
      <c r="D32" s="19"/>
      <c r="E32" s="19"/>
      <c r="F32" s="19"/>
      <c r="G32" s="19"/>
    </row>
    <row r="39" ht="12" customHeight="1"/>
  </sheetData>
  <sheetProtection/>
  <mergeCells count="9">
    <mergeCell ref="A12:B12"/>
    <mergeCell ref="B29:D29"/>
    <mergeCell ref="B21:D21"/>
    <mergeCell ref="A1:J1"/>
    <mergeCell ref="E2:J2"/>
    <mergeCell ref="C2:D3"/>
    <mergeCell ref="A2:A4"/>
    <mergeCell ref="B2:B4"/>
    <mergeCell ref="E3:F3"/>
  </mergeCells>
  <conditionalFormatting sqref="F5:F11 D5:D11">
    <cfRule type="cellIs" priority="4" dxfId="2" operator="greaterThan" stopIfTrue="1">
      <formula>65</formula>
    </cfRule>
  </conditionalFormatting>
  <printOptions/>
  <pageMargins left="0.6299212598425197" right="0.5511811023622047" top="1.0236220472440944" bottom="0.5905511811023623" header="0.5118110236220472" footer="0.3937007874015748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61"/>
  </sheetPr>
  <dimension ref="A1:K8"/>
  <sheetViews>
    <sheetView view="pageBreakPreview" zoomScaleSheetLayoutView="100" zoomScalePageLayoutView="0" workbookViewId="0" topLeftCell="A1">
      <selection activeCell="I12" sqref="I12"/>
    </sheetView>
  </sheetViews>
  <sheetFormatPr defaultColWidth="9.00390625" defaultRowHeight="12.75"/>
  <cols>
    <col min="1" max="1" width="4.25390625" style="0" customWidth="1"/>
    <col min="2" max="2" width="20.00390625" style="0" customWidth="1"/>
    <col min="3" max="3" width="13.375" style="0" customWidth="1"/>
    <col min="4" max="4" width="13.625" style="0" customWidth="1"/>
    <col min="5" max="5" width="9.875" style="0" customWidth="1"/>
    <col min="6" max="6" width="8.375" style="0" customWidth="1"/>
    <col min="7" max="7" width="19.125" style="0" customWidth="1"/>
    <col min="8" max="8" width="11.125" style="0" customWidth="1"/>
    <col min="9" max="9" width="11.75390625" style="0" customWidth="1"/>
    <col min="10" max="10" width="11.25390625" style="0" customWidth="1"/>
    <col min="11" max="11" width="11.125" style="0" customWidth="1"/>
  </cols>
  <sheetData>
    <row r="1" spans="1:11" s="4" customFormat="1" ht="27" customHeight="1">
      <c r="A1" s="857" t="s">
        <v>574</v>
      </c>
      <c r="B1" s="857"/>
      <c r="C1" s="857"/>
      <c r="D1" s="857"/>
      <c r="E1" s="857"/>
      <c r="F1" s="857"/>
      <c r="G1" s="857"/>
      <c r="H1" s="857"/>
      <c r="I1" s="857"/>
      <c r="J1" s="857"/>
      <c r="K1" s="857"/>
    </row>
    <row r="2" spans="1:11" s="5" customFormat="1" ht="14.25" customHeight="1">
      <c r="A2" s="848" t="s">
        <v>457</v>
      </c>
      <c r="B2" s="848" t="s">
        <v>463</v>
      </c>
      <c r="C2" s="865" t="s">
        <v>663</v>
      </c>
      <c r="D2" s="865"/>
      <c r="E2" s="848" t="s">
        <v>371</v>
      </c>
      <c r="F2" s="848"/>
      <c r="G2" s="848"/>
      <c r="H2" s="848"/>
      <c r="I2" s="848"/>
      <c r="J2" s="848"/>
      <c r="K2" s="848"/>
    </row>
    <row r="3" spans="1:11" s="5" customFormat="1" ht="35.25" customHeight="1">
      <c r="A3" s="848"/>
      <c r="B3" s="848"/>
      <c r="C3" s="865"/>
      <c r="D3" s="865"/>
      <c r="E3" s="866">
        <v>2016</v>
      </c>
      <c r="F3" s="849"/>
      <c r="G3" s="849"/>
      <c r="H3" s="512">
        <v>2017</v>
      </c>
      <c r="I3" s="512">
        <v>2018</v>
      </c>
      <c r="J3" s="512">
        <v>2019</v>
      </c>
      <c r="K3" s="512">
        <v>2020</v>
      </c>
    </row>
    <row r="4" spans="1:11" s="5" customFormat="1" ht="17.25" customHeight="1">
      <c r="A4" s="848"/>
      <c r="B4" s="848"/>
      <c r="C4" s="848" t="s">
        <v>505</v>
      </c>
      <c r="D4" s="848" t="s">
        <v>460</v>
      </c>
      <c r="E4" s="848" t="s">
        <v>376</v>
      </c>
      <c r="F4" s="848"/>
      <c r="G4" s="848" t="s">
        <v>576</v>
      </c>
      <c r="H4" s="848" t="s">
        <v>37</v>
      </c>
      <c r="I4" s="848" t="s">
        <v>37</v>
      </c>
      <c r="J4" s="848" t="s">
        <v>37</v>
      </c>
      <c r="K4" s="848" t="s">
        <v>37</v>
      </c>
    </row>
    <row r="5" spans="1:11" s="5" customFormat="1" ht="15.75" customHeight="1" hidden="1">
      <c r="A5" s="848"/>
      <c r="B5" s="848"/>
      <c r="C5" s="848"/>
      <c r="D5" s="848"/>
      <c r="E5" s="848"/>
      <c r="F5" s="848"/>
      <c r="G5" s="848"/>
      <c r="H5" s="848"/>
      <c r="I5" s="848"/>
      <c r="J5" s="848"/>
      <c r="K5" s="848"/>
    </row>
    <row r="6" spans="1:11" s="5" customFormat="1" ht="32.25" customHeight="1">
      <c r="A6" s="848"/>
      <c r="B6" s="848"/>
      <c r="C6" s="848"/>
      <c r="D6" s="848"/>
      <c r="E6" s="513" t="s">
        <v>37</v>
      </c>
      <c r="F6" s="513" t="s">
        <v>460</v>
      </c>
      <c r="G6" s="848"/>
      <c r="H6" s="848"/>
      <c r="I6" s="848"/>
      <c r="J6" s="848"/>
      <c r="K6" s="848"/>
    </row>
    <row r="7" spans="1:11" s="5" customFormat="1" ht="15.75" customHeight="1">
      <c r="A7" s="513">
        <v>1</v>
      </c>
      <c r="B7" s="513">
        <v>2</v>
      </c>
      <c r="C7" s="513">
        <v>3</v>
      </c>
      <c r="D7" s="513">
        <v>4</v>
      </c>
      <c r="E7" s="513">
        <v>5</v>
      </c>
      <c r="F7" s="513">
        <v>6</v>
      </c>
      <c r="G7" s="513">
        <v>7</v>
      </c>
      <c r="H7" s="513">
        <v>8</v>
      </c>
      <c r="I7" s="513">
        <v>9</v>
      </c>
      <c r="J7" s="513">
        <v>10</v>
      </c>
      <c r="K7" s="513">
        <v>11</v>
      </c>
    </row>
    <row r="8" spans="1:11" s="4" customFormat="1" ht="30">
      <c r="A8" s="139">
        <v>1</v>
      </c>
      <c r="B8" s="139" t="s">
        <v>411</v>
      </c>
      <c r="C8" s="143">
        <f>H8+I8+J8+K8+E8</f>
        <v>14848.523072</v>
      </c>
      <c r="D8" s="209">
        <v>1</v>
      </c>
      <c r="E8" s="133">
        <f>'6. Пров закупівлі'!F238</f>
        <v>2218.88</v>
      </c>
      <c r="F8" s="144">
        <v>1</v>
      </c>
      <c r="G8" s="529">
        <v>12</v>
      </c>
      <c r="H8" s="133">
        <f>E8*1.2</f>
        <v>2662.656</v>
      </c>
      <c r="I8" s="133">
        <f>H8*1.15</f>
        <v>3062.0543999999995</v>
      </c>
      <c r="J8" s="133">
        <f>I8*1.1</f>
        <v>3368.2598399999997</v>
      </c>
      <c r="K8" s="133">
        <f>J8*1.05</f>
        <v>3536.6728319999997</v>
      </c>
    </row>
  </sheetData>
  <sheetProtection/>
  <mergeCells count="14">
    <mergeCell ref="A1:K1"/>
    <mergeCell ref="A2:A6"/>
    <mergeCell ref="B2:B6"/>
    <mergeCell ref="C2:D3"/>
    <mergeCell ref="E2:K2"/>
    <mergeCell ref="E3:G3"/>
    <mergeCell ref="C4:C6"/>
    <mergeCell ref="D4:D6"/>
    <mergeCell ref="J4:J6"/>
    <mergeCell ref="K4:K6"/>
    <mergeCell ref="E4:F5"/>
    <mergeCell ref="G4:G6"/>
    <mergeCell ref="H4:H6"/>
    <mergeCell ref="I4:I6"/>
  </mergeCells>
  <printOptions/>
  <pageMargins left="0.6692913385826772" right="0.31496062992125984" top="0.787401574803149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K8"/>
  <sheetViews>
    <sheetView view="pageBreakPreview" zoomScaleSheetLayoutView="100" zoomScalePageLayoutView="0" workbookViewId="0" topLeftCell="A1">
      <selection activeCell="D8" sqref="D8"/>
    </sheetView>
  </sheetViews>
  <sheetFormatPr defaultColWidth="9.00390625" defaultRowHeight="12.75"/>
  <cols>
    <col min="1" max="1" width="5.625" style="4" customWidth="1"/>
    <col min="2" max="2" width="22.75390625" style="4" customWidth="1"/>
    <col min="3" max="3" width="13.875" style="4" customWidth="1"/>
    <col min="4" max="4" width="13.25390625" style="4" customWidth="1"/>
    <col min="5" max="5" width="14.00390625" style="4" customWidth="1"/>
    <col min="6" max="6" width="8.625" style="4" customWidth="1"/>
    <col min="7" max="7" width="19.125" style="4" customWidth="1"/>
    <col min="8" max="8" width="13.75390625" style="4" customWidth="1"/>
    <col min="9" max="9" width="13.375" style="4" customWidth="1"/>
    <col min="10" max="10" width="13.25390625" style="4" customWidth="1"/>
    <col min="11" max="11" width="13.375" style="4" customWidth="1"/>
    <col min="12" max="16384" width="9.125" style="4" customWidth="1"/>
  </cols>
  <sheetData>
    <row r="1" spans="1:11" ht="27" customHeight="1">
      <c r="A1" s="857" t="s">
        <v>575</v>
      </c>
      <c r="B1" s="857"/>
      <c r="C1" s="857"/>
      <c r="D1" s="857"/>
      <c r="E1" s="857"/>
      <c r="F1" s="857"/>
      <c r="G1" s="857"/>
      <c r="H1" s="857"/>
      <c r="I1" s="857"/>
      <c r="J1" s="857"/>
      <c r="K1" s="857"/>
    </row>
    <row r="2" spans="1:11" s="5" customFormat="1" ht="18" customHeight="1">
      <c r="A2" s="848" t="s">
        <v>457</v>
      </c>
      <c r="B2" s="848" t="s">
        <v>463</v>
      </c>
      <c r="C2" s="865" t="s">
        <v>663</v>
      </c>
      <c r="D2" s="865"/>
      <c r="E2" s="848" t="s">
        <v>371</v>
      </c>
      <c r="F2" s="848"/>
      <c r="G2" s="848"/>
      <c r="H2" s="848"/>
      <c r="I2" s="848"/>
      <c r="J2" s="848"/>
      <c r="K2" s="848"/>
    </row>
    <row r="3" spans="1:11" s="5" customFormat="1" ht="26.25" customHeight="1">
      <c r="A3" s="848"/>
      <c r="B3" s="848"/>
      <c r="C3" s="865"/>
      <c r="D3" s="865"/>
      <c r="E3" s="866">
        <v>2016</v>
      </c>
      <c r="F3" s="849"/>
      <c r="G3" s="849"/>
      <c r="H3" s="512">
        <v>2017</v>
      </c>
      <c r="I3" s="512">
        <v>2018</v>
      </c>
      <c r="J3" s="512">
        <v>2019</v>
      </c>
      <c r="K3" s="512">
        <v>2020</v>
      </c>
    </row>
    <row r="4" spans="1:11" s="5" customFormat="1" ht="17.25" customHeight="1">
      <c r="A4" s="848"/>
      <c r="B4" s="848"/>
      <c r="C4" s="848" t="s">
        <v>37</v>
      </c>
      <c r="D4" s="848" t="s">
        <v>460</v>
      </c>
      <c r="E4" s="848" t="s">
        <v>376</v>
      </c>
      <c r="F4" s="848"/>
      <c r="G4" s="848" t="s">
        <v>576</v>
      </c>
      <c r="H4" s="848" t="s">
        <v>37</v>
      </c>
      <c r="I4" s="848" t="s">
        <v>37</v>
      </c>
      <c r="J4" s="848" t="s">
        <v>37</v>
      </c>
      <c r="K4" s="848" t="s">
        <v>37</v>
      </c>
    </row>
    <row r="5" spans="1:11" s="5" customFormat="1" ht="18.75" customHeight="1">
      <c r="A5" s="848"/>
      <c r="B5" s="848"/>
      <c r="C5" s="848"/>
      <c r="D5" s="848"/>
      <c r="E5" s="848"/>
      <c r="F5" s="848"/>
      <c r="G5" s="848"/>
      <c r="H5" s="848"/>
      <c r="I5" s="848"/>
      <c r="J5" s="848"/>
      <c r="K5" s="848"/>
    </row>
    <row r="6" spans="1:11" s="5" customFormat="1" ht="24" customHeight="1">
      <c r="A6" s="848"/>
      <c r="B6" s="848"/>
      <c r="C6" s="848"/>
      <c r="D6" s="848"/>
      <c r="E6" s="513" t="s">
        <v>37</v>
      </c>
      <c r="F6" s="513" t="s">
        <v>460</v>
      </c>
      <c r="G6" s="848"/>
      <c r="H6" s="848"/>
      <c r="I6" s="848"/>
      <c r="J6" s="848"/>
      <c r="K6" s="848"/>
    </row>
    <row r="7" spans="1:11" s="5" customFormat="1" ht="15" customHeight="1">
      <c r="A7" s="514">
        <v>1</v>
      </c>
      <c r="B7" s="514">
        <v>2</v>
      </c>
      <c r="C7" s="514">
        <v>3</v>
      </c>
      <c r="D7" s="514">
        <v>4</v>
      </c>
      <c r="E7" s="514">
        <v>5</v>
      </c>
      <c r="F7" s="514">
        <v>6</v>
      </c>
      <c r="G7" s="514">
        <v>7</v>
      </c>
      <c r="H7" s="514">
        <v>8</v>
      </c>
      <c r="I7" s="514">
        <v>9</v>
      </c>
      <c r="J7" s="514">
        <v>10</v>
      </c>
      <c r="K7" s="514">
        <v>11</v>
      </c>
    </row>
    <row r="8" spans="1:11" s="6" customFormat="1" ht="30.75" customHeight="1">
      <c r="A8" s="139">
        <v>1</v>
      </c>
      <c r="B8" s="139" t="s">
        <v>292</v>
      </c>
      <c r="C8" s="133">
        <f>H8+I8+J8+K8+E8</f>
        <v>14167.796236399998</v>
      </c>
      <c r="D8" s="209">
        <v>1</v>
      </c>
      <c r="E8" s="133">
        <f>'6. Пров закупівлі'!F266</f>
        <v>2117.156</v>
      </c>
      <c r="F8" s="144">
        <v>1</v>
      </c>
      <c r="G8" s="133"/>
      <c r="H8" s="133">
        <f>E8*1.2</f>
        <v>2540.5872</v>
      </c>
      <c r="I8" s="133">
        <f>H8*1.15</f>
        <v>2921.67528</v>
      </c>
      <c r="J8" s="133">
        <f>I8*1.1</f>
        <v>3213.8428080000003</v>
      </c>
      <c r="K8" s="133">
        <f>J8*1.05</f>
        <v>3374.5349484000003</v>
      </c>
    </row>
  </sheetData>
  <sheetProtection insertRows="0" deleteRows="0"/>
  <mergeCells count="14">
    <mergeCell ref="A1:K1"/>
    <mergeCell ref="H4:H6"/>
    <mergeCell ref="D4:D6"/>
    <mergeCell ref="E4:F5"/>
    <mergeCell ref="G4:G6"/>
    <mergeCell ref="B2:B6"/>
    <mergeCell ref="I4:I6"/>
    <mergeCell ref="J4:J6"/>
    <mergeCell ref="K4:K6"/>
    <mergeCell ref="A2:A6"/>
    <mergeCell ref="C2:D3"/>
    <mergeCell ref="E2:K2"/>
    <mergeCell ref="E3:G3"/>
    <mergeCell ref="C4:C6"/>
  </mergeCells>
  <printOptions/>
  <pageMargins left="1.062992125984252" right="0.3937007874015748" top="0.7874015748031497" bottom="0.984251968503937" header="0.5118110236220472" footer="0.5118110236220472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E281"/>
  <sheetViews>
    <sheetView tabSelected="1" defaultGridColor="0" view="pageBreakPreview" zoomScale="85" zoomScaleNormal="85" zoomScaleSheetLayoutView="85" zoomScalePageLayoutView="55" colorId="12" workbookViewId="0" topLeftCell="A6">
      <pane xSplit="2" ySplit="5" topLeftCell="Q263" activePane="bottomRight" state="frozen"/>
      <selection pane="topLeft" activeCell="F16" sqref="F16"/>
      <selection pane="topRight" activeCell="F16" sqref="F16"/>
      <selection pane="bottomLeft" activeCell="F16" sqref="F16"/>
      <selection pane="bottomRight" activeCell="U182" sqref="U182"/>
    </sheetView>
  </sheetViews>
  <sheetFormatPr defaultColWidth="9.00390625" defaultRowHeight="12.75" outlineLevelRow="1"/>
  <cols>
    <col min="1" max="1" width="11.00390625" style="538" customWidth="1"/>
    <col min="2" max="2" width="64.75390625" style="539" customWidth="1"/>
    <col min="3" max="3" width="11.00390625" style="539" customWidth="1"/>
    <col min="4" max="4" width="19.25390625" style="540" customWidth="1"/>
    <col min="5" max="5" width="11.875" style="542" customWidth="1"/>
    <col min="6" max="6" width="16.625" style="542" customWidth="1"/>
    <col min="7" max="7" width="10.75390625" style="542" customWidth="1"/>
    <col min="8" max="10" width="13.625" style="542" customWidth="1"/>
    <col min="11" max="11" width="11.375" style="540" customWidth="1"/>
    <col min="12" max="12" width="13.125" style="540" customWidth="1"/>
    <col min="13" max="14" width="12.00390625" style="540" customWidth="1"/>
    <col min="15" max="15" width="10.375" style="767" customWidth="1"/>
    <col min="16" max="16" width="13.25390625" style="540" customWidth="1"/>
    <col min="17" max="17" width="11.25390625" style="767" customWidth="1"/>
    <col min="18" max="18" width="12.75390625" style="540" customWidth="1"/>
    <col min="19" max="19" width="22.375" style="539" customWidth="1"/>
    <col min="20" max="21" width="18.625" style="539" customWidth="1"/>
    <col min="22" max="22" width="17.25390625" style="539" customWidth="1"/>
    <col min="23" max="23" width="30.125" style="539" customWidth="1"/>
    <col min="24" max="24" width="18.625" style="541" customWidth="1"/>
    <col min="25" max="25" width="17.125" style="541" customWidth="1"/>
    <col min="26" max="26" width="5.375" style="541" customWidth="1"/>
    <col min="27" max="27" width="18.75390625" style="541" customWidth="1"/>
    <col min="28" max="28" width="5.625" style="541" customWidth="1"/>
    <col min="29" max="29" width="10.25390625" style="541" customWidth="1"/>
    <col min="30" max="30" width="7.375" style="541" customWidth="1"/>
    <col min="31" max="31" width="12.00390625" style="541" customWidth="1"/>
    <col min="32" max="16384" width="9.125" style="541" customWidth="1"/>
  </cols>
  <sheetData>
    <row r="1" spans="6:10" ht="13.5" hidden="1" thickBot="1">
      <c r="F1" s="551" t="s">
        <v>398</v>
      </c>
      <c r="G1" s="22"/>
      <c r="H1" s="22"/>
      <c r="I1" s="22"/>
      <c r="J1" s="22"/>
    </row>
    <row r="2" spans="6:10" ht="13.5" hidden="1" thickBot="1">
      <c r="F2" s="551" t="s">
        <v>412</v>
      </c>
      <c r="G2" s="22"/>
      <c r="H2" s="22"/>
      <c r="I2" s="22"/>
      <c r="J2" s="22"/>
    </row>
    <row r="3" spans="6:10" ht="13.5" hidden="1" thickBot="1">
      <c r="F3" s="552"/>
      <c r="G3" s="23"/>
      <c r="H3" s="23"/>
      <c r="I3" s="23"/>
      <c r="J3" s="23"/>
    </row>
    <row r="4" spans="5:10" ht="13.5" hidden="1" thickBot="1">
      <c r="E4" s="633"/>
      <c r="F4" s="552" t="s">
        <v>399</v>
      </c>
      <c r="G4" s="23"/>
      <c r="H4" s="23"/>
      <c r="I4" s="23"/>
      <c r="J4" s="23"/>
    </row>
    <row r="5" ht="13.5" hidden="1" thickBot="1"/>
    <row r="6" spans="1:23" s="543" customFormat="1" ht="72.75" customHeight="1" thickBot="1">
      <c r="A6" s="920" t="s">
        <v>652</v>
      </c>
      <c r="B6" s="921"/>
      <c r="C6" s="921"/>
      <c r="D6" s="921"/>
      <c r="E6" s="921"/>
      <c r="F6" s="921"/>
      <c r="G6" s="921"/>
      <c r="H6" s="921"/>
      <c r="I6" s="921"/>
      <c r="J6" s="921"/>
      <c r="K6" s="921"/>
      <c r="L6" s="921"/>
      <c r="M6" s="921"/>
      <c r="N6" s="921"/>
      <c r="O6" s="921"/>
      <c r="P6" s="921"/>
      <c r="Q6" s="921"/>
      <c r="R6" s="921"/>
      <c r="S6" s="921"/>
      <c r="T6" s="921"/>
      <c r="U6" s="921"/>
      <c r="V6" s="921"/>
      <c r="W6" s="921"/>
    </row>
    <row r="7" spans="1:23" s="543" customFormat="1" ht="15" customHeight="1">
      <c r="A7" s="904" t="s">
        <v>457</v>
      </c>
      <c r="B7" s="901" t="s">
        <v>479</v>
      </c>
      <c r="C7" s="922" t="s">
        <v>474</v>
      </c>
      <c r="D7" s="908" t="s">
        <v>365</v>
      </c>
      <c r="E7" s="901" t="s">
        <v>525</v>
      </c>
      <c r="F7" s="907"/>
      <c r="G7" s="910" t="s">
        <v>676</v>
      </c>
      <c r="H7" s="911"/>
      <c r="I7" s="911"/>
      <c r="J7" s="912"/>
      <c r="K7" s="908" t="s">
        <v>480</v>
      </c>
      <c r="L7" s="901"/>
      <c r="M7" s="901"/>
      <c r="N7" s="901"/>
      <c r="O7" s="901"/>
      <c r="P7" s="901"/>
      <c r="Q7" s="901"/>
      <c r="R7" s="909"/>
      <c r="S7" s="931" t="s">
        <v>475</v>
      </c>
      <c r="T7" s="901" t="s">
        <v>418</v>
      </c>
      <c r="U7" s="901" t="s">
        <v>549</v>
      </c>
      <c r="V7" s="901" t="s">
        <v>434</v>
      </c>
      <c r="W7" s="909" t="s">
        <v>540</v>
      </c>
    </row>
    <row r="8" spans="1:23" s="543" customFormat="1" ht="36.75" customHeight="1">
      <c r="A8" s="905"/>
      <c r="B8" s="900"/>
      <c r="C8" s="923"/>
      <c r="D8" s="919"/>
      <c r="E8" s="938" t="s">
        <v>276</v>
      </c>
      <c r="F8" s="936" t="s">
        <v>157</v>
      </c>
      <c r="G8" s="913" t="s">
        <v>677</v>
      </c>
      <c r="H8" s="914"/>
      <c r="I8" s="914" t="s">
        <v>678</v>
      </c>
      <c r="J8" s="915"/>
      <c r="K8" s="919" t="s">
        <v>471</v>
      </c>
      <c r="L8" s="900"/>
      <c r="M8" s="900" t="s">
        <v>472</v>
      </c>
      <c r="N8" s="900"/>
      <c r="O8" s="900" t="s">
        <v>473</v>
      </c>
      <c r="P8" s="900"/>
      <c r="Q8" s="900" t="s">
        <v>452</v>
      </c>
      <c r="R8" s="903"/>
      <c r="S8" s="932"/>
      <c r="T8" s="900"/>
      <c r="U8" s="900"/>
      <c r="V8" s="900"/>
      <c r="W8" s="903"/>
    </row>
    <row r="9" spans="1:23" s="543" customFormat="1" ht="26.25" customHeight="1">
      <c r="A9" s="905"/>
      <c r="B9" s="900"/>
      <c r="C9" s="923"/>
      <c r="D9" s="919"/>
      <c r="E9" s="938"/>
      <c r="F9" s="936"/>
      <c r="G9" s="913" t="s">
        <v>470</v>
      </c>
      <c r="H9" s="914" t="s">
        <v>679</v>
      </c>
      <c r="I9" s="914" t="s">
        <v>470</v>
      </c>
      <c r="J9" s="915" t="s">
        <v>679</v>
      </c>
      <c r="K9" s="919" t="s">
        <v>470</v>
      </c>
      <c r="L9" s="900" t="s">
        <v>157</v>
      </c>
      <c r="M9" s="900" t="s">
        <v>470</v>
      </c>
      <c r="N9" s="900" t="s">
        <v>157</v>
      </c>
      <c r="O9" s="926" t="s">
        <v>470</v>
      </c>
      <c r="P9" s="900" t="s">
        <v>157</v>
      </c>
      <c r="Q9" s="926" t="s">
        <v>470</v>
      </c>
      <c r="R9" s="903" t="s">
        <v>157</v>
      </c>
      <c r="S9" s="932"/>
      <c r="T9" s="900"/>
      <c r="U9" s="900"/>
      <c r="V9" s="900"/>
      <c r="W9" s="903"/>
    </row>
    <row r="10" spans="1:23" s="543" customFormat="1" ht="30.75" customHeight="1" thickBot="1">
      <c r="A10" s="906"/>
      <c r="B10" s="902"/>
      <c r="C10" s="924"/>
      <c r="D10" s="925"/>
      <c r="E10" s="939"/>
      <c r="F10" s="937"/>
      <c r="G10" s="916"/>
      <c r="H10" s="917"/>
      <c r="I10" s="917"/>
      <c r="J10" s="918"/>
      <c r="K10" s="925"/>
      <c r="L10" s="902"/>
      <c r="M10" s="902"/>
      <c r="N10" s="902"/>
      <c r="O10" s="927"/>
      <c r="P10" s="902"/>
      <c r="Q10" s="927"/>
      <c r="R10" s="928"/>
      <c r="S10" s="933"/>
      <c r="T10" s="902"/>
      <c r="U10" s="902"/>
      <c r="V10" s="902"/>
      <c r="W10" s="928"/>
    </row>
    <row r="11" spans="1:23" s="543" customFormat="1" ht="14.25" customHeight="1">
      <c r="A11" s="515" t="s">
        <v>40</v>
      </c>
      <c r="B11" s="516">
        <v>2</v>
      </c>
      <c r="C11" s="517">
        <v>3</v>
      </c>
      <c r="D11" s="518">
        <v>4</v>
      </c>
      <c r="E11" s="521">
        <v>5</v>
      </c>
      <c r="F11" s="521">
        <v>6</v>
      </c>
      <c r="G11" s="520">
        <v>7</v>
      </c>
      <c r="H11" s="521">
        <v>8</v>
      </c>
      <c r="I11" s="521">
        <v>9</v>
      </c>
      <c r="J11" s="519">
        <v>10</v>
      </c>
      <c r="K11" s="520">
        <v>11</v>
      </c>
      <c r="L11" s="521">
        <v>12</v>
      </c>
      <c r="M11" s="521">
        <v>13</v>
      </c>
      <c r="N11" s="521">
        <v>14</v>
      </c>
      <c r="O11" s="521">
        <v>15</v>
      </c>
      <c r="P11" s="521">
        <v>16</v>
      </c>
      <c r="Q11" s="519">
        <v>17</v>
      </c>
      <c r="R11" s="519">
        <v>18</v>
      </c>
      <c r="S11" s="618">
        <v>19</v>
      </c>
      <c r="T11" s="521">
        <v>20</v>
      </c>
      <c r="U11" s="521">
        <v>21</v>
      </c>
      <c r="V11" s="521">
        <v>22</v>
      </c>
      <c r="W11" s="519">
        <v>23</v>
      </c>
    </row>
    <row r="12" spans="1:23" ht="27" customHeight="1">
      <c r="A12" s="522" t="s">
        <v>164</v>
      </c>
      <c r="B12" s="523"/>
      <c r="C12" s="524"/>
      <c r="D12" s="522"/>
      <c r="E12" s="527"/>
      <c r="F12" s="525"/>
      <c r="G12" s="526"/>
      <c r="H12" s="527"/>
      <c r="I12" s="527"/>
      <c r="J12" s="525"/>
      <c r="K12" s="522"/>
      <c r="L12" s="523"/>
      <c r="M12" s="523"/>
      <c r="N12" s="523"/>
      <c r="O12" s="768"/>
      <c r="P12" s="523"/>
      <c r="Q12" s="768"/>
      <c r="R12" s="623"/>
      <c r="S12" s="698"/>
      <c r="T12" s="699"/>
      <c r="U12" s="699"/>
      <c r="V12" s="699"/>
      <c r="W12" s="623"/>
    </row>
    <row r="13" spans="1:31" s="52" customFormat="1" ht="36.75" customHeight="1">
      <c r="A13" s="231" t="s">
        <v>38</v>
      </c>
      <c r="B13" s="61" t="s">
        <v>550</v>
      </c>
      <c r="C13" s="278"/>
      <c r="D13" s="315"/>
      <c r="E13" s="79"/>
      <c r="F13" s="316"/>
      <c r="G13" s="380"/>
      <c r="H13" s="79"/>
      <c r="I13" s="79"/>
      <c r="J13" s="316"/>
      <c r="K13" s="587"/>
      <c r="L13" s="582"/>
      <c r="M13" s="582"/>
      <c r="N13" s="582"/>
      <c r="O13" s="769"/>
      <c r="P13" s="582"/>
      <c r="Q13" s="816"/>
      <c r="R13" s="624"/>
      <c r="S13" s="700"/>
      <c r="T13" s="701"/>
      <c r="U13" s="701"/>
      <c r="V13" s="701"/>
      <c r="W13" s="702"/>
      <c r="Y13" s="111"/>
      <c r="Z13" s="111"/>
      <c r="AA13" s="111"/>
      <c r="AB13" s="111"/>
      <c r="AC13" s="111"/>
      <c r="AD13" s="111"/>
      <c r="AE13" s="111"/>
    </row>
    <row r="14" spans="1:23" s="52" customFormat="1" ht="30" customHeight="1" hidden="1">
      <c r="A14" s="232" t="s">
        <v>41</v>
      </c>
      <c r="B14" s="62" t="s">
        <v>329</v>
      </c>
      <c r="C14" s="278"/>
      <c r="D14" s="315"/>
      <c r="E14" s="79"/>
      <c r="F14" s="317"/>
      <c r="G14" s="327"/>
      <c r="H14" s="70"/>
      <c r="I14" s="70"/>
      <c r="J14" s="317"/>
      <c r="K14" s="587"/>
      <c r="L14" s="582"/>
      <c r="M14" s="582"/>
      <c r="N14" s="582"/>
      <c r="O14" s="769"/>
      <c r="P14" s="582"/>
      <c r="Q14" s="816"/>
      <c r="R14" s="624"/>
      <c r="S14" s="700"/>
      <c r="T14" s="701"/>
      <c r="U14" s="701"/>
      <c r="V14" s="701"/>
      <c r="W14" s="702"/>
    </row>
    <row r="15" spans="1:23" s="52" customFormat="1" ht="15.75" customHeight="1" hidden="1">
      <c r="A15" s="231"/>
      <c r="B15" s="62" t="s">
        <v>216</v>
      </c>
      <c r="C15" s="279"/>
      <c r="D15" s="318"/>
      <c r="E15" s="63"/>
      <c r="F15" s="319"/>
      <c r="G15" s="318"/>
      <c r="H15" s="63"/>
      <c r="I15" s="63"/>
      <c r="J15" s="319"/>
      <c r="K15" s="318"/>
      <c r="L15" s="63">
        <f>SUM(L14)</f>
        <v>0</v>
      </c>
      <c r="M15" s="63"/>
      <c r="N15" s="63">
        <f>SUM(N14)</f>
        <v>0</v>
      </c>
      <c r="O15" s="770"/>
      <c r="P15" s="63">
        <f>SUM(P14)</f>
        <v>0</v>
      </c>
      <c r="Q15" s="816"/>
      <c r="R15" s="624"/>
      <c r="S15" s="700"/>
      <c r="T15" s="701"/>
      <c r="U15" s="701"/>
      <c r="V15" s="701"/>
      <c r="W15" s="702"/>
    </row>
    <row r="16" spans="1:23" s="24" customFormat="1" ht="30" customHeight="1">
      <c r="A16" s="232" t="s">
        <v>414</v>
      </c>
      <c r="B16" s="62" t="s">
        <v>492</v>
      </c>
      <c r="C16" s="280"/>
      <c r="D16" s="320"/>
      <c r="E16" s="66"/>
      <c r="F16" s="321"/>
      <c r="G16" s="381"/>
      <c r="H16" s="113"/>
      <c r="I16" s="113"/>
      <c r="J16" s="321"/>
      <c r="K16" s="588"/>
      <c r="L16" s="583"/>
      <c r="M16" s="583"/>
      <c r="N16" s="583"/>
      <c r="O16" s="771"/>
      <c r="P16" s="583"/>
      <c r="Q16" s="771"/>
      <c r="R16" s="625"/>
      <c r="S16" s="703"/>
      <c r="T16" s="704"/>
      <c r="U16" s="705"/>
      <c r="V16" s="706"/>
      <c r="W16" s="707"/>
    </row>
    <row r="17" spans="1:23" s="24" customFormat="1" ht="15.75" customHeight="1" hidden="1">
      <c r="A17" s="231"/>
      <c r="B17" s="62" t="s">
        <v>216</v>
      </c>
      <c r="C17" s="279"/>
      <c r="D17" s="318"/>
      <c r="E17" s="63"/>
      <c r="F17" s="319"/>
      <c r="G17" s="318"/>
      <c r="H17" s="63"/>
      <c r="I17" s="63"/>
      <c r="J17" s="319"/>
      <c r="K17" s="318"/>
      <c r="L17" s="63">
        <f>SUM(L16)</f>
        <v>0</v>
      </c>
      <c r="M17" s="63"/>
      <c r="N17" s="63">
        <f>SUM(N16)</f>
        <v>0</v>
      </c>
      <c r="O17" s="770"/>
      <c r="P17" s="63">
        <f>SUM(P16)</f>
        <v>0</v>
      </c>
      <c r="Q17" s="770"/>
      <c r="R17" s="319">
        <f>SUM(R16)</f>
        <v>0</v>
      </c>
      <c r="S17" s="703"/>
      <c r="T17" s="704"/>
      <c r="U17" s="705"/>
      <c r="V17" s="706"/>
      <c r="W17" s="707"/>
    </row>
    <row r="18" spans="1:26" s="24" customFormat="1" ht="15.75" customHeight="1" hidden="1">
      <c r="A18" s="233" t="s">
        <v>212</v>
      </c>
      <c r="B18" s="64" t="s">
        <v>476</v>
      </c>
      <c r="C18" s="281"/>
      <c r="D18" s="322"/>
      <c r="E18" s="66"/>
      <c r="F18" s="321"/>
      <c r="G18" s="381"/>
      <c r="H18" s="113"/>
      <c r="I18" s="113"/>
      <c r="J18" s="321"/>
      <c r="K18" s="588"/>
      <c r="L18" s="583"/>
      <c r="M18" s="583"/>
      <c r="N18" s="583"/>
      <c r="O18" s="771"/>
      <c r="P18" s="583"/>
      <c r="Q18" s="771"/>
      <c r="R18" s="625"/>
      <c r="S18" s="708"/>
      <c r="T18" s="704"/>
      <c r="U18" s="705"/>
      <c r="V18" s="706"/>
      <c r="W18" s="707"/>
      <c r="Y18" s="48"/>
      <c r="Z18" s="48"/>
    </row>
    <row r="19" spans="1:26" s="24" customFormat="1" ht="15.75" customHeight="1" hidden="1">
      <c r="A19" s="232"/>
      <c r="B19" s="67" t="s">
        <v>213</v>
      </c>
      <c r="C19" s="282"/>
      <c r="D19" s="323"/>
      <c r="E19" s="68"/>
      <c r="F19" s="324"/>
      <c r="G19" s="323"/>
      <c r="H19" s="68"/>
      <c r="I19" s="68"/>
      <c r="J19" s="324"/>
      <c r="K19" s="323"/>
      <c r="L19" s="68"/>
      <c r="M19" s="68"/>
      <c r="N19" s="68"/>
      <c r="O19" s="772"/>
      <c r="P19" s="68"/>
      <c r="Q19" s="772"/>
      <c r="R19" s="324"/>
      <c r="S19" s="708"/>
      <c r="T19" s="704"/>
      <c r="U19" s="705"/>
      <c r="V19" s="706"/>
      <c r="W19" s="707"/>
      <c r="Y19" s="48"/>
      <c r="Z19" s="48"/>
    </row>
    <row r="20" spans="1:31" s="24" customFormat="1" ht="15" customHeight="1" hidden="1">
      <c r="A20" s="233" t="s">
        <v>165</v>
      </c>
      <c r="B20" s="64" t="s">
        <v>544</v>
      </c>
      <c r="C20" s="283"/>
      <c r="D20" s="325"/>
      <c r="E20" s="66"/>
      <c r="F20" s="326"/>
      <c r="G20" s="382"/>
      <c r="H20" s="114"/>
      <c r="I20" s="114"/>
      <c r="J20" s="326"/>
      <c r="K20" s="382"/>
      <c r="L20" s="114"/>
      <c r="M20" s="114"/>
      <c r="N20" s="114"/>
      <c r="O20" s="773"/>
      <c r="P20" s="114"/>
      <c r="Q20" s="773"/>
      <c r="R20" s="326"/>
      <c r="S20" s="709"/>
      <c r="T20" s="704"/>
      <c r="U20" s="710"/>
      <c r="V20" s="706"/>
      <c r="W20" s="707"/>
      <c r="Y20" s="48"/>
      <c r="AA20" s="48"/>
      <c r="AC20" s="48"/>
      <c r="AE20" s="48"/>
    </row>
    <row r="21" spans="1:26" s="24" customFormat="1" ht="17.25" customHeight="1" hidden="1">
      <c r="A21" s="236"/>
      <c r="B21" s="67" t="s">
        <v>166</v>
      </c>
      <c r="C21" s="282"/>
      <c r="D21" s="323"/>
      <c r="E21" s="68"/>
      <c r="F21" s="324"/>
      <c r="G21" s="323"/>
      <c r="H21" s="68"/>
      <c r="I21" s="68"/>
      <c r="J21" s="324"/>
      <c r="K21" s="323"/>
      <c r="L21" s="68">
        <v>0</v>
      </c>
      <c r="M21" s="68"/>
      <c r="N21" s="68">
        <v>0</v>
      </c>
      <c r="O21" s="772"/>
      <c r="P21" s="68">
        <v>0</v>
      </c>
      <c r="Q21" s="772"/>
      <c r="R21" s="324">
        <v>0</v>
      </c>
      <c r="S21" s="709"/>
      <c r="T21" s="704"/>
      <c r="U21" s="710"/>
      <c r="V21" s="706"/>
      <c r="W21" s="707"/>
      <c r="Y21" s="48"/>
      <c r="Z21" s="48"/>
    </row>
    <row r="22" spans="1:26" s="24" customFormat="1" ht="30" customHeight="1">
      <c r="A22" s="233" t="s">
        <v>515</v>
      </c>
      <c r="B22" s="64" t="s">
        <v>413</v>
      </c>
      <c r="C22" s="285"/>
      <c r="D22" s="328"/>
      <c r="E22" s="71"/>
      <c r="F22" s="329"/>
      <c r="G22" s="328"/>
      <c r="H22" s="71"/>
      <c r="I22" s="71"/>
      <c r="J22" s="329"/>
      <c r="K22" s="328"/>
      <c r="L22" s="71"/>
      <c r="M22" s="71"/>
      <c r="N22" s="71"/>
      <c r="O22" s="774"/>
      <c r="P22" s="71"/>
      <c r="Q22" s="774"/>
      <c r="R22" s="329"/>
      <c r="S22" s="709"/>
      <c r="T22" s="704"/>
      <c r="U22" s="710"/>
      <c r="V22" s="706"/>
      <c r="W22" s="707"/>
      <c r="Y22" s="48"/>
      <c r="Z22" s="48"/>
    </row>
    <row r="23" spans="1:26" s="24" customFormat="1" ht="51.75" customHeight="1">
      <c r="A23" s="234" t="s">
        <v>516</v>
      </c>
      <c r="B23" s="72" t="s">
        <v>735</v>
      </c>
      <c r="C23" s="284" t="s">
        <v>477</v>
      </c>
      <c r="D23" s="564">
        <f>F23/E23</f>
        <v>2426.51051625239</v>
      </c>
      <c r="E23" s="556">
        <v>3.138</v>
      </c>
      <c r="F23" s="688">
        <v>7614.39</v>
      </c>
      <c r="G23" s="361">
        <f>E23</f>
        <v>3.138</v>
      </c>
      <c r="H23" s="75">
        <f>F23</f>
        <v>7614.39</v>
      </c>
      <c r="I23" s="75"/>
      <c r="J23" s="330"/>
      <c r="K23" s="328"/>
      <c r="L23" s="70"/>
      <c r="M23" s="70">
        <f>E23*N23/F23</f>
        <v>1.3629427846485405</v>
      </c>
      <c r="N23" s="70">
        <f>F23*0.5-500</f>
        <v>3307.195</v>
      </c>
      <c r="O23" s="769">
        <f>E23-M23</f>
        <v>1.7750572153514594</v>
      </c>
      <c r="P23" s="70">
        <f>F23*0.5+500</f>
        <v>4307.195</v>
      </c>
      <c r="Q23" s="769"/>
      <c r="R23" s="317"/>
      <c r="S23" s="711" t="s">
        <v>724</v>
      </c>
      <c r="T23" s="704" t="s">
        <v>712</v>
      </c>
      <c r="U23" s="710" t="s">
        <v>820</v>
      </c>
      <c r="V23" s="706" t="s">
        <v>806</v>
      </c>
      <c r="W23" s="702"/>
      <c r="X23" s="48"/>
      <c r="Y23" s="48"/>
      <c r="Z23" s="48"/>
    </row>
    <row r="24" spans="1:26" s="24" customFormat="1" ht="25.5" customHeight="1">
      <c r="A24" s="236"/>
      <c r="B24" s="67" t="s">
        <v>517</v>
      </c>
      <c r="C24" s="282"/>
      <c r="D24" s="323"/>
      <c r="E24" s="68"/>
      <c r="F24" s="324">
        <f>SUM(F23:F23)</f>
        <v>7614.39</v>
      </c>
      <c r="G24" s="323"/>
      <c r="H24" s="68">
        <f>SUM(H23:H23)</f>
        <v>7614.39</v>
      </c>
      <c r="I24" s="68"/>
      <c r="J24" s="324">
        <f>SUM(J23:J23)</f>
        <v>0</v>
      </c>
      <c r="K24" s="323"/>
      <c r="L24" s="68">
        <f>SUM(L23:L23)</f>
        <v>0</v>
      </c>
      <c r="M24" s="68"/>
      <c r="N24" s="68">
        <f>SUM(N23:N23)</f>
        <v>3307.195</v>
      </c>
      <c r="O24" s="772"/>
      <c r="P24" s="68">
        <f>SUM(P23)</f>
        <v>4307.195</v>
      </c>
      <c r="Q24" s="772"/>
      <c r="R24" s="324">
        <f>SUM(R23:R23)</f>
        <v>0</v>
      </c>
      <c r="S24" s="709"/>
      <c r="T24" s="704"/>
      <c r="U24" s="710"/>
      <c r="V24" s="706"/>
      <c r="W24" s="707"/>
      <c r="X24" s="48"/>
      <c r="Y24" s="48"/>
      <c r="Z24" s="48"/>
    </row>
    <row r="25" spans="1:24" s="24" customFormat="1" ht="26.25" customHeight="1">
      <c r="A25" s="237" t="s">
        <v>167</v>
      </c>
      <c r="B25" s="73" t="s">
        <v>427</v>
      </c>
      <c r="C25" s="286"/>
      <c r="D25" s="331"/>
      <c r="E25" s="74"/>
      <c r="F25" s="332"/>
      <c r="G25" s="383"/>
      <c r="H25" s="115"/>
      <c r="I25" s="115"/>
      <c r="J25" s="332"/>
      <c r="K25" s="569"/>
      <c r="L25" s="115"/>
      <c r="M25" s="74"/>
      <c r="N25" s="115"/>
      <c r="O25" s="775"/>
      <c r="P25" s="115"/>
      <c r="Q25" s="775"/>
      <c r="R25" s="332"/>
      <c r="S25" s="709"/>
      <c r="T25" s="704"/>
      <c r="U25" s="710"/>
      <c r="V25" s="706"/>
      <c r="W25" s="707"/>
      <c r="X25" s="48"/>
    </row>
    <row r="26" spans="1:24" s="24" customFormat="1" ht="47.25" customHeight="1">
      <c r="A26" s="234" t="s">
        <v>168</v>
      </c>
      <c r="B26" s="72" t="s">
        <v>594</v>
      </c>
      <c r="C26" s="284" t="s">
        <v>477</v>
      </c>
      <c r="D26" s="564">
        <f>F26/E26</f>
        <v>558.1970238095238</v>
      </c>
      <c r="E26" s="556">
        <v>1.4</v>
      </c>
      <c r="F26" s="568">
        <v>781.4758333333333</v>
      </c>
      <c r="G26" s="361">
        <f aca="true" t="shared" si="0" ref="G26:H30">E26</f>
        <v>1.4</v>
      </c>
      <c r="H26" s="75">
        <f t="shared" si="0"/>
        <v>781.4758333333333</v>
      </c>
      <c r="I26" s="213"/>
      <c r="J26" s="235"/>
      <c r="K26" s="775"/>
      <c r="L26" s="619"/>
      <c r="M26" s="584"/>
      <c r="N26" s="113"/>
      <c r="O26" s="775">
        <f>E26*P26/F26</f>
        <v>0.9799999999999999</v>
      </c>
      <c r="P26" s="74">
        <f>F26*0.7</f>
        <v>547.0330833333333</v>
      </c>
      <c r="Q26" s="775">
        <f>E26-O26</f>
        <v>0.42000000000000004</v>
      </c>
      <c r="R26" s="619">
        <f>F26-P26</f>
        <v>234.44275000000005</v>
      </c>
      <c r="S26" s="711" t="s">
        <v>724</v>
      </c>
      <c r="T26" s="704" t="s">
        <v>712</v>
      </c>
      <c r="U26" s="710" t="s">
        <v>831</v>
      </c>
      <c r="V26" s="706" t="s">
        <v>807</v>
      </c>
      <c r="W26" s="702"/>
      <c r="X26" s="48"/>
    </row>
    <row r="27" spans="1:24" s="24" customFormat="1" ht="46.5" customHeight="1">
      <c r="A27" s="234" t="s">
        <v>90</v>
      </c>
      <c r="B27" s="72" t="s">
        <v>595</v>
      </c>
      <c r="C27" s="284" t="s">
        <v>477</v>
      </c>
      <c r="D27" s="564">
        <f>F27/E27</f>
        <v>608.2416097838453</v>
      </c>
      <c r="E27" s="556">
        <v>1.172</v>
      </c>
      <c r="F27" s="568">
        <v>712.8591666666667</v>
      </c>
      <c r="G27" s="361">
        <f t="shared" si="0"/>
        <v>1.172</v>
      </c>
      <c r="H27" s="75">
        <f t="shared" si="0"/>
        <v>712.8591666666667</v>
      </c>
      <c r="I27" s="213"/>
      <c r="J27" s="235"/>
      <c r="K27" s="775"/>
      <c r="L27" s="619"/>
      <c r="M27" s="584"/>
      <c r="N27" s="113"/>
      <c r="O27" s="775">
        <f>E27*P27/F27</f>
        <v>0.8203999999999999</v>
      </c>
      <c r="P27" s="74">
        <f>F27*0.7</f>
        <v>499.00141666666667</v>
      </c>
      <c r="Q27" s="775">
        <f>E27-O27</f>
        <v>0.3516</v>
      </c>
      <c r="R27" s="619">
        <f>F27-P27</f>
        <v>213.85775000000007</v>
      </c>
      <c r="S27" s="711" t="s">
        <v>724</v>
      </c>
      <c r="T27" s="704" t="s">
        <v>712</v>
      </c>
      <c r="U27" s="710" t="s">
        <v>822</v>
      </c>
      <c r="V27" s="706" t="s">
        <v>808</v>
      </c>
      <c r="W27" s="702"/>
      <c r="X27" s="48"/>
    </row>
    <row r="28" spans="1:24" s="24" customFormat="1" ht="43.5" customHeight="1">
      <c r="A28" s="234" t="s">
        <v>578</v>
      </c>
      <c r="B28" s="72" t="s">
        <v>596</v>
      </c>
      <c r="C28" s="284" t="s">
        <v>477</v>
      </c>
      <c r="D28" s="564">
        <f>F28/E28</f>
        <v>640.4854695919939</v>
      </c>
      <c r="E28" s="556">
        <v>1.732</v>
      </c>
      <c r="F28" s="568">
        <v>1109.3208333333334</v>
      </c>
      <c r="G28" s="361">
        <f t="shared" si="0"/>
        <v>1.732</v>
      </c>
      <c r="H28" s="75">
        <f t="shared" si="0"/>
        <v>1109.3208333333334</v>
      </c>
      <c r="I28" s="213"/>
      <c r="J28" s="235"/>
      <c r="K28" s="775">
        <v>0.866</v>
      </c>
      <c r="L28" s="619">
        <f>F28*0.5</f>
        <v>554.6604166666667</v>
      </c>
      <c r="M28" s="584"/>
      <c r="N28" s="113"/>
      <c r="O28" s="775">
        <f aca="true" t="shared" si="1" ref="O28:P30">E28*0.5</f>
        <v>0.866</v>
      </c>
      <c r="P28" s="74">
        <f t="shared" si="1"/>
        <v>554.6604166666667</v>
      </c>
      <c r="Q28" s="775"/>
      <c r="R28" s="619"/>
      <c r="S28" s="711" t="s">
        <v>724</v>
      </c>
      <c r="T28" s="704" t="s">
        <v>712</v>
      </c>
      <c r="U28" s="710" t="s">
        <v>840</v>
      </c>
      <c r="V28" s="706" t="s">
        <v>809</v>
      </c>
      <c r="W28" s="702"/>
      <c r="X28" s="48"/>
    </row>
    <row r="29" spans="1:24" s="24" customFormat="1" ht="45.75" customHeight="1">
      <c r="A29" s="234" t="s">
        <v>579</v>
      </c>
      <c r="B29" s="72" t="s">
        <v>597</v>
      </c>
      <c r="C29" s="284" t="s">
        <v>477</v>
      </c>
      <c r="D29" s="564">
        <f>F29/E29</f>
        <v>632.4338624338625</v>
      </c>
      <c r="E29" s="556">
        <v>2.52</v>
      </c>
      <c r="F29" s="568">
        <v>1593.7333333333333</v>
      </c>
      <c r="G29" s="361">
        <f t="shared" si="0"/>
        <v>2.52</v>
      </c>
      <c r="H29" s="75">
        <f t="shared" si="0"/>
        <v>1593.7333333333333</v>
      </c>
      <c r="I29" s="213"/>
      <c r="J29" s="235"/>
      <c r="K29" s="775">
        <v>1.26</v>
      </c>
      <c r="L29" s="619">
        <f>F29*0.5</f>
        <v>796.8666666666667</v>
      </c>
      <c r="M29" s="584"/>
      <c r="N29" s="113"/>
      <c r="O29" s="775">
        <f t="shared" si="1"/>
        <v>1.26</v>
      </c>
      <c r="P29" s="74">
        <f t="shared" si="1"/>
        <v>796.8666666666667</v>
      </c>
      <c r="Q29" s="775"/>
      <c r="R29" s="619"/>
      <c r="S29" s="711" t="s">
        <v>724</v>
      </c>
      <c r="T29" s="704" t="s">
        <v>712</v>
      </c>
      <c r="U29" s="710" t="s">
        <v>832</v>
      </c>
      <c r="V29" s="706" t="s">
        <v>810</v>
      </c>
      <c r="W29" s="702"/>
      <c r="X29" s="48"/>
    </row>
    <row r="30" spans="1:24" s="24" customFormat="1" ht="42" customHeight="1">
      <c r="A30" s="234" t="s">
        <v>580</v>
      </c>
      <c r="B30" s="72" t="s">
        <v>598</v>
      </c>
      <c r="C30" s="284" t="s">
        <v>477</v>
      </c>
      <c r="D30" s="564">
        <f>F30/E30</f>
        <v>544.1069969654529</v>
      </c>
      <c r="E30" s="556">
        <v>5.712</v>
      </c>
      <c r="F30" s="568">
        <v>3107.939166666667</v>
      </c>
      <c r="G30" s="361">
        <f t="shared" si="0"/>
        <v>5.712</v>
      </c>
      <c r="H30" s="75">
        <f t="shared" si="0"/>
        <v>3107.939166666667</v>
      </c>
      <c r="I30" s="213"/>
      <c r="J30" s="235"/>
      <c r="K30" s="775"/>
      <c r="L30" s="619"/>
      <c r="M30" s="584"/>
      <c r="N30" s="113"/>
      <c r="O30" s="775">
        <f t="shared" si="1"/>
        <v>2.856</v>
      </c>
      <c r="P30" s="74">
        <f t="shared" si="1"/>
        <v>1553.9695833333335</v>
      </c>
      <c r="Q30" s="775">
        <v>2.856</v>
      </c>
      <c r="R30" s="619">
        <f>F30*0.5</f>
        <v>1553.9695833333335</v>
      </c>
      <c r="S30" s="711" t="s">
        <v>724</v>
      </c>
      <c r="T30" s="704" t="s">
        <v>712</v>
      </c>
      <c r="U30" s="710" t="s">
        <v>824</v>
      </c>
      <c r="V30" s="706" t="s">
        <v>811</v>
      </c>
      <c r="W30" s="702"/>
      <c r="X30" s="48"/>
    </row>
    <row r="31" spans="1:24" s="24" customFormat="1" ht="15.75" customHeight="1">
      <c r="A31" s="238"/>
      <c r="B31" s="67" t="s">
        <v>169</v>
      </c>
      <c r="C31" s="287"/>
      <c r="D31" s="323"/>
      <c r="E31" s="68"/>
      <c r="F31" s="324">
        <f>SUM(F26:F30)</f>
        <v>7305.328333333334</v>
      </c>
      <c r="G31" s="323"/>
      <c r="H31" s="68">
        <f>SUM(H26:H30)</f>
        <v>7305.328333333334</v>
      </c>
      <c r="I31" s="68"/>
      <c r="J31" s="324">
        <f>SUM(J26:J30)</f>
        <v>0</v>
      </c>
      <c r="K31" s="323"/>
      <c r="L31" s="68">
        <f>SUM(L26:L30)</f>
        <v>1351.5270833333334</v>
      </c>
      <c r="M31" s="68"/>
      <c r="N31" s="68">
        <f>SUM(N26:N30)</f>
        <v>0</v>
      </c>
      <c r="O31" s="772"/>
      <c r="P31" s="68">
        <f>SUM(P26:P30)</f>
        <v>3951.531166666667</v>
      </c>
      <c r="Q31" s="772"/>
      <c r="R31" s="324">
        <f>SUM(R26:R30)</f>
        <v>2002.2700833333336</v>
      </c>
      <c r="S31" s="709"/>
      <c r="T31" s="704"/>
      <c r="U31" s="710"/>
      <c r="V31" s="706"/>
      <c r="W31" s="707"/>
      <c r="X31" s="48"/>
    </row>
    <row r="32" spans="1:24" s="24" customFormat="1" ht="18.75" customHeight="1">
      <c r="A32" s="239"/>
      <c r="B32" s="62" t="s">
        <v>170</v>
      </c>
      <c r="C32" s="279"/>
      <c r="D32" s="318"/>
      <c r="E32" s="63"/>
      <c r="F32" s="319">
        <f>F19+F21+F24+F31</f>
        <v>14919.718333333334</v>
      </c>
      <c r="G32" s="318"/>
      <c r="H32" s="63">
        <f>H19+H21+H24+H31</f>
        <v>14919.718333333334</v>
      </c>
      <c r="I32" s="63"/>
      <c r="J32" s="319">
        <f>J19+J21+J24+J31</f>
        <v>0</v>
      </c>
      <c r="K32" s="318"/>
      <c r="L32" s="63">
        <f>L19+L21+L24+L31</f>
        <v>1351.5270833333334</v>
      </c>
      <c r="M32" s="63"/>
      <c r="N32" s="63">
        <f>N19+N21+N24+N31</f>
        <v>3307.195</v>
      </c>
      <c r="O32" s="770"/>
      <c r="P32" s="63">
        <f>P19+P21+P24+P31</f>
        <v>8258.726166666667</v>
      </c>
      <c r="Q32" s="770"/>
      <c r="R32" s="319">
        <f>R19+R21+R24+R31</f>
        <v>2002.2700833333336</v>
      </c>
      <c r="S32" s="709"/>
      <c r="T32" s="704"/>
      <c r="U32" s="710"/>
      <c r="V32" s="706"/>
      <c r="W32" s="707"/>
      <c r="X32" s="48"/>
    </row>
    <row r="33" spans="1:24" s="24" customFormat="1" ht="30.75" customHeight="1" hidden="1">
      <c r="A33" s="232" t="s">
        <v>415</v>
      </c>
      <c r="B33" s="62" t="s">
        <v>214</v>
      </c>
      <c r="C33" s="280"/>
      <c r="D33" s="322"/>
      <c r="E33" s="66"/>
      <c r="F33" s="321">
        <v>0</v>
      </c>
      <c r="G33" s="381"/>
      <c r="H33" s="113"/>
      <c r="I33" s="113"/>
      <c r="J33" s="321"/>
      <c r="K33" s="588"/>
      <c r="L33" s="583"/>
      <c r="M33" s="583"/>
      <c r="N33" s="583"/>
      <c r="O33" s="771"/>
      <c r="P33" s="583"/>
      <c r="Q33" s="771"/>
      <c r="R33" s="625"/>
      <c r="S33" s="709"/>
      <c r="T33" s="704"/>
      <c r="U33" s="710"/>
      <c r="V33" s="706"/>
      <c r="W33" s="707"/>
      <c r="X33" s="48"/>
    </row>
    <row r="34" spans="1:24" s="24" customFormat="1" ht="15.75" customHeight="1" hidden="1">
      <c r="A34" s="231"/>
      <c r="B34" s="62" t="s">
        <v>215</v>
      </c>
      <c r="C34" s="279"/>
      <c r="D34" s="318"/>
      <c r="E34" s="63"/>
      <c r="F34" s="319">
        <f>SUM(F33)</f>
        <v>0</v>
      </c>
      <c r="G34" s="318"/>
      <c r="H34" s="63"/>
      <c r="I34" s="63"/>
      <c r="J34" s="319"/>
      <c r="K34" s="318"/>
      <c r="L34" s="63">
        <f>SUM(L33)</f>
        <v>0</v>
      </c>
      <c r="M34" s="63"/>
      <c r="N34" s="63">
        <f>SUM(N33)</f>
        <v>0</v>
      </c>
      <c r="O34" s="770"/>
      <c r="P34" s="63">
        <f>SUM(P33)</f>
        <v>0</v>
      </c>
      <c r="Q34" s="770"/>
      <c r="R34" s="319">
        <f>SUM(R33)</f>
        <v>0</v>
      </c>
      <c r="S34" s="709"/>
      <c r="T34" s="704"/>
      <c r="U34" s="710"/>
      <c r="V34" s="706"/>
      <c r="W34" s="707"/>
      <c r="X34" s="48"/>
    </row>
    <row r="35" spans="1:24" s="24" customFormat="1" ht="30" customHeight="1" hidden="1">
      <c r="A35" s="232" t="s">
        <v>552</v>
      </c>
      <c r="B35" s="62" t="s">
        <v>217</v>
      </c>
      <c r="C35" s="280"/>
      <c r="D35" s="322"/>
      <c r="E35" s="66"/>
      <c r="F35" s="321"/>
      <c r="G35" s="381"/>
      <c r="H35" s="113"/>
      <c r="I35" s="113"/>
      <c r="J35" s="321"/>
      <c r="K35" s="588"/>
      <c r="L35" s="583"/>
      <c r="M35" s="583"/>
      <c r="N35" s="583"/>
      <c r="O35" s="771"/>
      <c r="P35" s="583"/>
      <c r="Q35" s="771"/>
      <c r="R35" s="625"/>
      <c r="S35" s="709"/>
      <c r="T35" s="704"/>
      <c r="U35" s="710"/>
      <c r="V35" s="706"/>
      <c r="W35" s="707"/>
      <c r="X35" s="48"/>
    </row>
    <row r="36" spans="1:24" s="24" customFormat="1" ht="18" customHeight="1" hidden="1">
      <c r="A36" s="232" t="s">
        <v>381</v>
      </c>
      <c r="B36" s="76" t="s">
        <v>476</v>
      </c>
      <c r="C36" s="280"/>
      <c r="D36" s="322"/>
      <c r="E36" s="66"/>
      <c r="F36" s="321"/>
      <c r="G36" s="381"/>
      <c r="H36" s="113"/>
      <c r="I36" s="113"/>
      <c r="J36" s="321"/>
      <c r="K36" s="588"/>
      <c r="L36" s="583"/>
      <c r="M36" s="583"/>
      <c r="N36" s="583"/>
      <c r="O36" s="771"/>
      <c r="P36" s="583"/>
      <c r="Q36" s="771"/>
      <c r="R36" s="625"/>
      <c r="S36" s="709"/>
      <c r="T36" s="704"/>
      <c r="U36" s="710"/>
      <c r="V36" s="706"/>
      <c r="W36" s="707"/>
      <c r="X36" s="48"/>
    </row>
    <row r="37" spans="1:24" s="24" customFormat="1" ht="16.5" customHeight="1" hidden="1">
      <c r="A37" s="221"/>
      <c r="B37" s="67" t="s">
        <v>169</v>
      </c>
      <c r="C37" s="289"/>
      <c r="D37" s="333"/>
      <c r="E37" s="78"/>
      <c r="F37" s="334"/>
      <c r="G37" s="384"/>
      <c r="H37" s="78"/>
      <c r="I37" s="78"/>
      <c r="J37" s="334"/>
      <c r="K37" s="384"/>
      <c r="L37" s="78">
        <v>0</v>
      </c>
      <c r="M37" s="78"/>
      <c r="N37" s="78">
        <v>0</v>
      </c>
      <c r="O37" s="776"/>
      <c r="P37" s="78">
        <v>0</v>
      </c>
      <c r="Q37" s="776"/>
      <c r="R37" s="334">
        <v>0</v>
      </c>
      <c r="S37" s="709"/>
      <c r="T37" s="704"/>
      <c r="U37" s="710"/>
      <c r="V37" s="706"/>
      <c r="W37" s="707"/>
      <c r="X37" s="48"/>
    </row>
    <row r="38" spans="1:24" s="24" customFormat="1" ht="15.75" customHeight="1" hidden="1">
      <c r="A38" s="231"/>
      <c r="B38" s="62" t="s">
        <v>218</v>
      </c>
      <c r="C38" s="279"/>
      <c r="D38" s="318"/>
      <c r="E38" s="63"/>
      <c r="F38" s="319">
        <f>SUM(F37)</f>
        <v>0</v>
      </c>
      <c r="G38" s="318"/>
      <c r="H38" s="63"/>
      <c r="I38" s="63"/>
      <c r="J38" s="319"/>
      <c r="K38" s="318"/>
      <c r="L38" s="63">
        <f>SUM(L37)</f>
        <v>0</v>
      </c>
      <c r="M38" s="63"/>
      <c r="N38" s="63">
        <f>SUM(N37)</f>
        <v>0</v>
      </c>
      <c r="O38" s="770"/>
      <c r="P38" s="63">
        <f>SUM(P37)</f>
        <v>0</v>
      </c>
      <c r="Q38" s="770"/>
      <c r="R38" s="319">
        <f>SUM(R37)</f>
        <v>0</v>
      </c>
      <c r="S38" s="709"/>
      <c r="T38" s="704"/>
      <c r="U38" s="710"/>
      <c r="V38" s="706"/>
      <c r="W38" s="707"/>
      <c r="X38" s="48"/>
    </row>
    <row r="39" spans="1:24" s="24" customFormat="1" ht="28.5" customHeight="1">
      <c r="A39" s="232" t="s">
        <v>311</v>
      </c>
      <c r="B39" s="62" t="s">
        <v>428</v>
      </c>
      <c r="C39" s="281"/>
      <c r="D39" s="322"/>
      <c r="E39" s="66"/>
      <c r="F39" s="321"/>
      <c r="G39" s="381"/>
      <c r="H39" s="113"/>
      <c r="I39" s="113"/>
      <c r="J39" s="321"/>
      <c r="K39" s="381"/>
      <c r="L39" s="113"/>
      <c r="M39" s="113"/>
      <c r="N39" s="113"/>
      <c r="O39" s="771"/>
      <c r="P39" s="74"/>
      <c r="Q39" s="771"/>
      <c r="R39" s="321"/>
      <c r="S39" s="709"/>
      <c r="T39" s="704"/>
      <c r="U39" s="710"/>
      <c r="V39" s="706"/>
      <c r="W39" s="707"/>
      <c r="X39" s="48"/>
    </row>
    <row r="40" spans="1:24" s="24" customFormat="1" ht="15" customHeight="1">
      <c r="A40" s="231" t="s">
        <v>171</v>
      </c>
      <c r="B40" s="76" t="s">
        <v>476</v>
      </c>
      <c r="C40" s="290"/>
      <c r="D40" s="335"/>
      <c r="E40" s="79"/>
      <c r="F40" s="317"/>
      <c r="G40" s="327"/>
      <c r="H40" s="70"/>
      <c r="I40" s="70"/>
      <c r="J40" s="317"/>
      <c r="K40" s="381"/>
      <c r="L40" s="113"/>
      <c r="M40" s="113"/>
      <c r="N40" s="74"/>
      <c r="O40" s="771"/>
      <c r="P40" s="74"/>
      <c r="Q40" s="775"/>
      <c r="R40" s="321"/>
      <c r="S40" s="709"/>
      <c r="T40" s="704"/>
      <c r="U40" s="710"/>
      <c r="V40" s="706"/>
      <c r="W40" s="707"/>
      <c r="X40" s="48"/>
    </row>
    <row r="41" spans="1:24" s="24" customFormat="1" ht="50.25" customHeight="1">
      <c r="A41" s="240" t="s">
        <v>172</v>
      </c>
      <c r="B41" s="116" t="s">
        <v>319</v>
      </c>
      <c r="C41" s="288" t="s">
        <v>536</v>
      </c>
      <c r="D41" s="564">
        <f>F41/E41</f>
        <v>15505.912</v>
      </c>
      <c r="E41" s="556">
        <v>1</v>
      </c>
      <c r="F41" s="568">
        <f>19716.87-4210.958</f>
        <v>15505.912</v>
      </c>
      <c r="G41" s="361">
        <f>E41</f>
        <v>1</v>
      </c>
      <c r="H41" s="75">
        <f>F41</f>
        <v>15505.912</v>
      </c>
      <c r="I41" s="70"/>
      <c r="J41" s="317"/>
      <c r="K41" s="381"/>
      <c r="L41" s="113"/>
      <c r="M41" s="113"/>
      <c r="N41" s="74">
        <f>F41*0.75-300</f>
        <v>11329.434000000001</v>
      </c>
      <c r="O41" s="771"/>
      <c r="P41" s="74"/>
      <c r="Q41" s="775">
        <v>1</v>
      </c>
      <c r="R41" s="321">
        <f>F41*0.25+300</f>
        <v>4176.478</v>
      </c>
      <c r="S41" s="711" t="s">
        <v>724</v>
      </c>
      <c r="T41" s="704" t="s">
        <v>712</v>
      </c>
      <c r="U41" s="710" t="s">
        <v>833</v>
      </c>
      <c r="V41" s="706" t="s">
        <v>815</v>
      </c>
      <c r="W41" s="702"/>
      <c r="X41" s="48"/>
    </row>
    <row r="42" spans="1:24" s="24" customFormat="1" ht="90.75" customHeight="1">
      <c r="A42" s="240" t="s">
        <v>173</v>
      </c>
      <c r="B42" s="116" t="s">
        <v>320</v>
      </c>
      <c r="C42" s="288" t="s">
        <v>536</v>
      </c>
      <c r="D42" s="564">
        <f>F42/E42</f>
        <v>15493.516999999998</v>
      </c>
      <c r="E42" s="556">
        <v>1</v>
      </c>
      <c r="F42" s="568">
        <f>19692.01-4198.493</f>
        <v>15493.516999999998</v>
      </c>
      <c r="G42" s="361">
        <f>E42</f>
        <v>1</v>
      </c>
      <c r="H42" s="75">
        <f>F42</f>
        <v>15493.516999999998</v>
      </c>
      <c r="I42" s="70"/>
      <c r="J42" s="317"/>
      <c r="K42" s="381"/>
      <c r="L42" s="113">
        <f>F42*0.75-300</f>
        <v>11320.137749999998</v>
      </c>
      <c r="M42" s="113"/>
      <c r="N42" s="74"/>
      <c r="O42" s="771">
        <v>1</v>
      </c>
      <c r="P42" s="113">
        <f>F42*0.25+300</f>
        <v>4173.37925</v>
      </c>
      <c r="Q42" s="775"/>
      <c r="R42" s="321"/>
      <c r="S42" s="711" t="s">
        <v>804</v>
      </c>
      <c r="T42" s="704" t="s">
        <v>712</v>
      </c>
      <c r="U42" s="710" t="s">
        <v>833</v>
      </c>
      <c r="V42" s="706" t="s">
        <v>816</v>
      </c>
      <c r="W42" s="712"/>
      <c r="X42" s="48"/>
    </row>
    <row r="43" spans="1:24" s="24" customFormat="1" ht="19.5" customHeight="1">
      <c r="A43" s="240"/>
      <c r="B43" s="67" t="s">
        <v>174</v>
      </c>
      <c r="C43" s="291"/>
      <c r="D43" s="323"/>
      <c r="E43" s="68"/>
      <c r="F43" s="324">
        <f>SUM(F41:F42)</f>
        <v>30999.428999999996</v>
      </c>
      <c r="G43" s="323"/>
      <c r="H43" s="68">
        <f>SUM(H41:H42)</f>
        <v>30999.428999999996</v>
      </c>
      <c r="I43" s="68"/>
      <c r="J43" s="324">
        <f>SUM(J41:J42)</f>
        <v>0</v>
      </c>
      <c r="K43" s="323"/>
      <c r="L43" s="68">
        <f>SUM(L41:L42)</f>
        <v>11320.137749999998</v>
      </c>
      <c r="M43" s="68"/>
      <c r="N43" s="68">
        <f>SUM(N41:N42)</f>
        <v>11329.434000000001</v>
      </c>
      <c r="O43" s="772"/>
      <c r="P43" s="68">
        <f>SUM(P41:P42)</f>
        <v>4173.37925</v>
      </c>
      <c r="Q43" s="772"/>
      <c r="R43" s="324">
        <f>SUM(R41:R42)</f>
        <v>4176.478</v>
      </c>
      <c r="S43" s="709"/>
      <c r="T43" s="704"/>
      <c r="U43" s="710"/>
      <c r="V43" s="706"/>
      <c r="W43" s="707"/>
      <c r="X43" s="48"/>
    </row>
    <row r="44" spans="1:24" s="24" customFormat="1" ht="17.25" customHeight="1">
      <c r="A44" s="231" t="s">
        <v>175</v>
      </c>
      <c r="B44" s="76" t="s">
        <v>544</v>
      </c>
      <c r="C44" s="288"/>
      <c r="D44" s="337"/>
      <c r="E44" s="77"/>
      <c r="F44" s="338"/>
      <c r="G44" s="337"/>
      <c r="H44" s="77"/>
      <c r="I44" s="77"/>
      <c r="J44" s="338"/>
      <c r="K44" s="381"/>
      <c r="L44" s="113"/>
      <c r="M44" s="113"/>
      <c r="N44" s="74"/>
      <c r="O44" s="777"/>
      <c r="P44" s="77"/>
      <c r="Q44" s="777"/>
      <c r="R44" s="619"/>
      <c r="S44" s="709"/>
      <c r="T44" s="704"/>
      <c r="U44" s="710"/>
      <c r="V44" s="706"/>
      <c r="W44" s="707"/>
      <c r="X44" s="48"/>
    </row>
    <row r="45" spans="1:24" s="24" customFormat="1" ht="91.5" customHeight="1" hidden="1">
      <c r="A45" s="234" t="s">
        <v>314</v>
      </c>
      <c r="B45" s="72" t="s">
        <v>91</v>
      </c>
      <c r="C45" s="288" t="s">
        <v>536</v>
      </c>
      <c r="D45" s="337"/>
      <c r="E45" s="77"/>
      <c r="F45" s="338"/>
      <c r="G45" s="361"/>
      <c r="H45" s="75"/>
      <c r="I45" s="77"/>
      <c r="J45" s="338"/>
      <c r="K45" s="381"/>
      <c r="L45" s="113"/>
      <c r="M45" s="113"/>
      <c r="N45" s="74"/>
      <c r="O45" s="777"/>
      <c r="P45" s="77"/>
      <c r="Q45" s="777"/>
      <c r="R45" s="619"/>
      <c r="S45" s="711"/>
      <c r="T45" s="704"/>
      <c r="U45" s="710"/>
      <c r="V45" s="706"/>
      <c r="W45" s="712"/>
      <c r="X45" s="48"/>
    </row>
    <row r="46" spans="1:24" s="24" customFormat="1" ht="46.5" customHeight="1" hidden="1">
      <c r="A46" s="234" t="s">
        <v>386</v>
      </c>
      <c r="B46" s="72" t="s">
        <v>599</v>
      </c>
      <c r="C46" s="288" t="s">
        <v>536</v>
      </c>
      <c r="D46" s="327"/>
      <c r="E46" s="70"/>
      <c r="F46" s="338"/>
      <c r="G46" s="361"/>
      <c r="H46" s="75"/>
      <c r="I46" s="77"/>
      <c r="J46" s="338"/>
      <c r="K46" s="381"/>
      <c r="L46" s="113"/>
      <c r="M46" s="113"/>
      <c r="N46" s="74"/>
      <c r="O46" s="777"/>
      <c r="P46" s="77"/>
      <c r="Q46" s="777"/>
      <c r="R46" s="619"/>
      <c r="S46" s="711"/>
      <c r="T46" s="704"/>
      <c r="U46" s="710"/>
      <c r="V46" s="706"/>
      <c r="W46" s="707"/>
      <c r="X46" s="48"/>
    </row>
    <row r="47" spans="1:24" s="24" customFormat="1" ht="43.5" customHeight="1" hidden="1">
      <c r="A47" s="234" t="s">
        <v>387</v>
      </c>
      <c r="B47" s="72" t="s">
        <v>600</v>
      </c>
      <c r="C47" s="288" t="s">
        <v>536</v>
      </c>
      <c r="D47" s="327"/>
      <c r="E47" s="70"/>
      <c r="F47" s="317"/>
      <c r="G47" s="361"/>
      <c r="H47" s="75"/>
      <c r="I47" s="77"/>
      <c r="J47" s="338"/>
      <c r="K47" s="381"/>
      <c r="L47" s="113"/>
      <c r="M47" s="113"/>
      <c r="N47" s="74"/>
      <c r="O47" s="777"/>
      <c r="P47" s="77"/>
      <c r="Q47" s="777"/>
      <c r="R47" s="619"/>
      <c r="S47" s="711"/>
      <c r="T47" s="704"/>
      <c r="U47" s="710"/>
      <c r="V47" s="706"/>
      <c r="W47" s="707"/>
      <c r="X47" s="48"/>
    </row>
    <row r="48" spans="1:24" s="24" customFormat="1" ht="30.75" customHeight="1" hidden="1">
      <c r="A48" s="234" t="s">
        <v>388</v>
      </c>
      <c r="B48" s="72" t="s">
        <v>651</v>
      </c>
      <c r="C48" s="288" t="s">
        <v>536</v>
      </c>
      <c r="D48" s="327"/>
      <c r="E48" s="70"/>
      <c r="F48" s="317"/>
      <c r="G48" s="361"/>
      <c r="H48" s="75"/>
      <c r="I48" s="77"/>
      <c r="J48" s="338"/>
      <c r="K48" s="381"/>
      <c r="L48" s="113"/>
      <c r="M48" s="113"/>
      <c r="N48" s="74"/>
      <c r="O48" s="777"/>
      <c r="P48" s="77"/>
      <c r="Q48" s="777"/>
      <c r="R48" s="619"/>
      <c r="S48" s="711"/>
      <c r="T48" s="704"/>
      <c r="U48" s="710"/>
      <c r="V48" s="706"/>
      <c r="W48" s="707"/>
      <c r="X48" s="48"/>
    </row>
    <row r="49" spans="1:24" s="24" customFormat="1" ht="38.25" customHeight="1" hidden="1">
      <c r="A49" s="234" t="s">
        <v>389</v>
      </c>
      <c r="B49" s="72" t="s">
        <v>601</v>
      </c>
      <c r="C49" s="288" t="s">
        <v>536</v>
      </c>
      <c r="D49" s="327"/>
      <c r="E49" s="70"/>
      <c r="F49" s="317"/>
      <c r="G49" s="361"/>
      <c r="H49" s="75"/>
      <c r="I49" s="77"/>
      <c r="J49" s="338"/>
      <c r="K49" s="381"/>
      <c r="L49" s="113"/>
      <c r="M49" s="113"/>
      <c r="N49" s="74"/>
      <c r="O49" s="777"/>
      <c r="P49" s="77"/>
      <c r="Q49" s="777"/>
      <c r="R49" s="619"/>
      <c r="S49" s="711"/>
      <c r="T49" s="704"/>
      <c r="U49" s="710"/>
      <c r="V49" s="706"/>
      <c r="W49" s="707"/>
      <c r="X49" s="48"/>
    </row>
    <row r="50" spans="1:24" s="24" customFormat="1" ht="62.25" customHeight="1">
      <c r="A50" s="234" t="s">
        <v>314</v>
      </c>
      <c r="B50" s="72" t="s">
        <v>385</v>
      </c>
      <c r="C50" s="288" t="s">
        <v>536</v>
      </c>
      <c r="D50" s="564">
        <f>F50/E50</f>
        <v>4691.888000000001</v>
      </c>
      <c r="E50" s="556">
        <v>1</v>
      </c>
      <c r="F50" s="557">
        <f>5268.85-576.962</f>
        <v>4691.888000000001</v>
      </c>
      <c r="G50" s="361">
        <f>E50</f>
        <v>1</v>
      </c>
      <c r="H50" s="75">
        <f>F50</f>
        <v>4691.888000000001</v>
      </c>
      <c r="I50" s="77"/>
      <c r="J50" s="338"/>
      <c r="K50" s="381"/>
      <c r="L50" s="113"/>
      <c r="M50" s="113"/>
      <c r="N50" s="74">
        <f>F50*0.75</f>
        <v>3518.9160000000006</v>
      </c>
      <c r="O50" s="777"/>
      <c r="P50" s="77"/>
      <c r="Q50" s="777">
        <v>1</v>
      </c>
      <c r="R50" s="619">
        <f>F50*0.25</f>
        <v>1172.9720000000002</v>
      </c>
      <c r="S50" s="711" t="s">
        <v>725</v>
      </c>
      <c r="T50" s="704" t="s">
        <v>712</v>
      </c>
      <c r="U50" s="710" t="s">
        <v>826</v>
      </c>
      <c r="V50" s="706" t="s">
        <v>817</v>
      </c>
      <c r="W50" s="713"/>
      <c r="X50" s="48"/>
    </row>
    <row r="51" spans="1:24" s="24" customFormat="1" ht="34.5" customHeight="1">
      <c r="A51" s="234"/>
      <c r="B51" s="212" t="s">
        <v>591</v>
      </c>
      <c r="C51" s="288"/>
      <c r="D51" s="564"/>
      <c r="E51" s="556"/>
      <c r="F51" s="687"/>
      <c r="G51" s="385"/>
      <c r="H51" s="123"/>
      <c r="I51" s="123"/>
      <c r="J51" s="336"/>
      <c r="K51" s="381"/>
      <c r="L51" s="113"/>
      <c r="M51" s="113"/>
      <c r="N51" s="74"/>
      <c r="O51" s="777"/>
      <c r="P51" s="77"/>
      <c r="Q51" s="777"/>
      <c r="R51" s="619"/>
      <c r="S51" s="711"/>
      <c r="T51" s="704"/>
      <c r="U51" s="710"/>
      <c r="V51" s="706"/>
      <c r="W51" s="714"/>
      <c r="X51" s="48"/>
    </row>
    <row r="52" spans="1:24" s="24" customFormat="1" ht="37.5" customHeight="1">
      <c r="A52" s="234" t="s">
        <v>386</v>
      </c>
      <c r="B52" s="72" t="s">
        <v>584</v>
      </c>
      <c r="C52" s="288" t="s">
        <v>536</v>
      </c>
      <c r="D52" s="564">
        <f>F52/E52</f>
        <v>1094.58</v>
      </c>
      <c r="E52" s="556">
        <v>1</v>
      </c>
      <c r="F52" s="568">
        <v>1094.58</v>
      </c>
      <c r="G52" s="361">
        <f>E52</f>
        <v>1</v>
      </c>
      <c r="H52" s="75">
        <f>F52</f>
        <v>1094.58</v>
      </c>
      <c r="I52" s="211"/>
      <c r="J52" s="339"/>
      <c r="K52" s="381"/>
      <c r="L52" s="74"/>
      <c r="M52" s="113"/>
      <c r="N52" s="74"/>
      <c r="O52" s="777"/>
      <c r="P52" s="77"/>
      <c r="Q52" s="777">
        <f>E52</f>
        <v>1</v>
      </c>
      <c r="R52" s="619">
        <f>F52</f>
        <v>1094.58</v>
      </c>
      <c r="S52" s="711" t="s">
        <v>725</v>
      </c>
      <c r="T52" s="704" t="s">
        <v>712</v>
      </c>
      <c r="U52" s="947" t="s">
        <v>826</v>
      </c>
      <c r="V52" s="706" t="s">
        <v>812</v>
      </c>
      <c r="W52" s="953"/>
      <c r="X52" s="48"/>
    </row>
    <row r="53" spans="1:24" s="24" customFormat="1" ht="37.5" customHeight="1">
      <c r="A53" s="234" t="s">
        <v>387</v>
      </c>
      <c r="B53" s="72" t="s">
        <v>585</v>
      </c>
      <c r="C53" s="288" t="s">
        <v>536</v>
      </c>
      <c r="D53" s="564">
        <f>F53/E53</f>
        <v>885.42</v>
      </c>
      <c r="E53" s="556">
        <v>1</v>
      </c>
      <c r="F53" s="568">
        <v>885.42</v>
      </c>
      <c r="G53" s="361">
        <f>E53</f>
        <v>1</v>
      </c>
      <c r="H53" s="75">
        <f>F53</f>
        <v>885.42</v>
      </c>
      <c r="I53" s="211"/>
      <c r="J53" s="339"/>
      <c r="K53" s="381"/>
      <c r="L53" s="74"/>
      <c r="M53" s="113"/>
      <c r="N53" s="74"/>
      <c r="O53" s="777"/>
      <c r="P53" s="77"/>
      <c r="Q53" s="777">
        <f>E53</f>
        <v>1</v>
      </c>
      <c r="R53" s="619">
        <f>F53</f>
        <v>885.42</v>
      </c>
      <c r="S53" s="711" t="s">
        <v>725</v>
      </c>
      <c r="T53" s="704" t="s">
        <v>712</v>
      </c>
      <c r="U53" s="948"/>
      <c r="V53" s="706" t="s">
        <v>813</v>
      </c>
      <c r="W53" s="953"/>
      <c r="X53" s="48"/>
    </row>
    <row r="54" spans="1:24" s="24" customFormat="1" ht="36" customHeight="1" hidden="1">
      <c r="A54" s="234" t="s">
        <v>290</v>
      </c>
      <c r="B54" s="72" t="s">
        <v>586</v>
      </c>
      <c r="C54" s="288" t="s">
        <v>536</v>
      </c>
      <c r="D54" s="564"/>
      <c r="E54" s="556"/>
      <c r="F54" s="568"/>
      <c r="G54" s="361"/>
      <c r="H54" s="75"/>
      <c r="I54" s="211"/>
      <c r="J54" s="339"/>
      <c r="K54" s="381"/>
      <c r="L54" s="74"/>
      <c r="M54" s="113"/>
      <c r="N54" s="74"/>
      <c r="O54" s="777"/>
      <c r="P54" s="77"/>
      <c r="Q54" s="777"/>
      <c r="R54" s="619"/>
      <c r="S54" s="711"/>
      <c r="T54" s="704"/>
      <c r="U54" s="948"/>
      <c r="V54" s="706"/>
      <c r="W54" s="953"/>
      <c r="X54" s="48"/>
    </row>
    <row r="55" spans="1:24" s="24" customFormat="1" ht="33.75" customHeight="1" hidden="1">
      <c r="A55" s="234" t="s">
        <v>291</v>
      </c>
      <c r="B55" s="72" t="s">
        <v>587</v>
      </c>
      <c r="C55" s="288" t="s">
        <v>536</v>
      </c>
      <c r="D55" s="564"/>
      <c r="E55" s="556"/>
      <c r="F55" s="568"/>
      <c r="G55" s="361"/>
      <c r="H55" s="75"/>
      <c r="I55" s="211"/>
      <c r="J55" s="339"/>
      <c r="K55" s="381"/>
      <c r="L55" s="74"/>
      <c r="M55" s="113"/>
      <c r="N55" s="74"/>
      <c r="O55" s="777"/>
      <c r="P55" s="77"/>
      <c r="Q55" s="777"/>
      <c r="R55" s="619"/>
      <c r="S55" s="711"/>
      <c r="T55" s="704"/>
      <c r="U55" s="948"/>
      <c r="V55" s="706"/>
      <c r="W55" s="953"/>
      <c r="X55" s="48"/>
    </row>
    <row r="56" spans="1:24" s="24" customFormat="1" ht="43.5" customHeight="1">
      <c r="A56" s="234" t="s">
        <v>388</v>
      </c>
      <c r="B56" s="72" t="s">
        <v>650</v>
      </c>
      <c r="C56" s="288" t="s">
        <v>536</v>
      </c>
      <c r="D56" s="564">
        <f>F56/E56</f>
        <v>1181.52</v>
      </c>
      <c r="E56" s="556">
        <v>1</v>
      </c>
      <c r="F56" s="568">
        <v>1181.52</v>
      </c>
      <c r="G56" s="361">
        <f>E56</f>
        <v>1</v>
      </c>
      <c r="H56" s="75">
        <f>F56</f>
        <v>1181.52</v>
      </c>
      <c r="I56" s="211"/>
      <c r="J56" s="339"/>
      <c r="K56" s="381"/>
      <c r="L56" s="74"/>
      <c r="M56" s="113"/>
      <c r="N56" s="74"/>
      <c r="O56" s="777"/>
      <c r="P56" s="77">
        <f>F56*0.5</f>
        <v>590.76</v>
      </c>
      <c r="Q56" s="777">
        <v>1</v>
      </c>
      <c r="R56" s="619">
        <f>F56*0.5</f>
        <v>590.76</v>
      </c>
      <c r="S56" s="711" t="s">
        <v>805</v>
      </c>
      <c r="T56" s="704" t="s">
        <v>712</v>
      </c>
      <c r="U56" s="948"/>
      <c r="V56" s="706" t="s">
        <v>814</v>
      </c>
      <c r="W56" s="713"/>
      <c r="X56" s="48"/>
    </row>
    <row r="57" spans="1:24" s="24" customFormat="1" ht="15.75" customHeight="1">
      <c r="A57" s="241"/>
      <c r="B57" s="67" t="s">
        <v>176</v>
      </c>
      <c r="C57" s="291"/>
      <c r="D57" s="323"/>
      <c r="E57" s="68"/>
      <c r="F57" s="324">
        <f>SUM(F45:F56)</f>
        <v>7853.408000000001</v>
      </c>
      <c r="G57" s="323"/>
      <c r="H57" s="68">
        <f>SUM(H45:H56)</f>
        <v>7853.408000000001</v>
      </c>
      <c r="I57" s="68"/>
      <c r="J57" s="324">
        <f>SUM(J45:J56)</f>
        <v>0</v>
      </c>
      <c r="K57" s="323"/>
      <c r="L57" s="68">
        <f>SUM(L45:L56)</f>
        <v>0</v>
      </c>
      <c r="M57" s="68"/>
      <c r="N57" s="68">
        <f>SUM(N45:N56)</f>
        <v>3518.9160000000006</v>
      </c>
      <c r="O57" s="772"/>
      <c r="P57" s="68">
        <f>SUM(P45:P56)</f>
        <v>590.76</v>
      </c>
      <c r="Q57" s="772"/>
      <c r="R57" s="324">
        <f>SUM(R45:R56)</f>
        <v>3743.732</v>
      </c>
      <c r="S57" s="709"/>
      <c r="T57" s="704"/>
      <c r="U57" s="710"/>
      <c r="V57" s="706"/>
      <c r="W57" s="707"/>
      <c r="X57" s="48"/>
    </row>
    <row r="58" spans="1:24" s="24" customFormat="1" ht="17.25" customHeight="1">
      <c r="A58" s="236"/>
      <c r="B58" s="80" t="s">
        <v>177</v>
      </c>
      <c r="C58" s="292"/>
      <c r="D58" s="340"/>
      <c r="E58" s="82"/>
      <c r="F58" s="341">
        <f>F43+F57</f>
        <v>38852.837</v>
      </c>
      <c r="G58" s="340"/>
      <c r="H58" s="81">
        <f>H43+H57</f>
        <v>38852.837</v>
      </c>
      <c r="I58" s="81"/>
      <c r="J58" s="341">
        <f>J43+J57</f>
        <v>0</v>
      </c>
      <c r="K58" s="589"/>
      <c r="L58" s="81">
        <f>L43+L57</f>
        <v>11320.137749999998</v>
      </c>
      <c r="M58" s="82"/>
      <c r="N58" s="81">
        <f>N43+N57</f>
        <v>14848.350000000002</v>
      </c>
      <c r="O58" s="778"/>
      <c r="P58" s="81">
        <f>P43+P57</f>
        <v>4764.13925</v>
      </c>
      <c r="Q58" s="778"/>
      <c r="R58" s="341">
        <f>R43+R57</f>
        <v>7920.21</v>
      </c>
      <c r="S58" s="709"/>
      <c r="T58" s="704"/>
      <c r="U58" s="706"/>
      <c r="V58" s="706"/>
      <c r="W58" s="707"/>
      <c r="X58" s="48"/>
    </row>
    <row r="59" spans="1:24" s="24" customFormat="1" ht="15.75" customHeight="1">
      <c r="A59" s="242"/>
      <c r="B59" s="83" t="s">
        <v>178</v>
      </c>
      <c r="C59" s="293"/>
      <c r="D59" s="342"/>
      <c r="E59" s="84"/>
      <c r="F59" s="343">
        <f>F17+F32+F34+F38+F58</f>
        <v>53772.55533333334</v>
      </c>
      <c r="G59" s="342"/>
      <c r="H59" s="84">
        <f>H17+H32+H34+H38+H58</f>
        <v>53772.55533333334</v>
      </c>
      <c r="I59" s="84"/>
      <c r="J59" s="343">
        <f>J17+J32+J34+J38+J58</f>
        <v>0</v>
      </c>
      <c r="K59" s="342"/>
      <c r="L59" s="84">
        <f>L17+L32+L34+L38+L58</f>
        <v>12671.664833333332</v>
      </c>
      <c r="M59" s="84"/>
      <c r="N59" s="84">
        <f>N17+N32+N34+N38+N58</f>
        <v>18155.545000000002</v>
      </c>
      <c r="O59" s="779"/>
      <c r="P59" s="84">
        <f>P17+P32+P34+P38+P58</f>
        <v>13022.865416666667</v>
      </c>
      <c r="Q59" s="779"/>
      <c r="R59" s="343">
        <f>R17+R32+R34+R38+R58</f>
        <v>9922.480083333334</v>
      </c>
      <c r="S59" s="709"/>
      <c r="T59" s="704"/>
      <c r="U59" s="706"/>
      <c r="V59" s="706"/>
      <c r="W59" s="707"/>
      <c r="X59" s="48"/>
    </row>
    <row r="60" spans="1:24" s="24" customFormat="1" ht="20.25" customHeight="1">
      <c r="A60" s="231" t="s">
        <v>39</v>
      </c>
      <c r="B60" s="83" t="s">
        <v>462</v>
      </c>
      <c r="C60" s="290"/>
      <c r="D60" s="344"/>
      <c r="E60" s="79"/>
      <c r="F60" s="317"/>
      <c r="G60" s="327"/>
      <c r="H60" s="70"/>
      <c r="I60" s="70"/>
      <c r="J60" s="317"/>
      <c r="K60" s="381"/>
      <c r="L60" s="113"/>
      <c r="M60" s="113"/>
      <c r="N60" s="113"/>
      <c r="O60" s="771"/>
      <c r="P60" s="113"/>
      <c r="Q60" s="771"/>
      <c r="R60" s="321"/>
      <c r="S60" s="709"/>
      <c r="T60" s="704"/>
      <c r="U60" s="710"/>
      <c r="V60" s="706"/>
      <c r="W60" s="707"/>
      <c r="X60" s="48"/>
    </row>
    <row r="61" spans="1:24" s="24" customFormat="1" ht="39" customHeight="1" hidden="1">
      <c r="A61" s="234" t="s">
        <v>483</v>
      </c>
      <c r="B61" s="72" t="s">
        <v>92</v>
      </c>
      <c r="C61" s="284" t="s">
        <v>508</v>
      </c>
      <c r="D61" s="327"/>
      <c r="E61" s="77"/>
      <c r="F61" s="345"/>
      <c r="G61" s="361">
        <f aca="true" t="shared" si="2" ref="G61:G71">E61</f>
        <v>0</v>
      </c>
      <c r="H61" s="75">
        <f aca="true" t="shared" si="3" ref="H61:H71">F61</f>
        <v>0</v>
      </c>
      <c r="I61" s="65"/>
      <c r="J61" s="345"/>
      <c r="K61" s="381"/>
      <c r="L61" s="113">
        <f>F61/2</f>
        <v>0</v>
      </c>
      <c r="M61" s="113"/>
      <c r="N61" s="113"/>
      <c r="O61" s="771">
        <f>E61</f>
        <v>0</v>
      </c>
      <c r="P61" s="113">
        <f>F61-L61-N61</f>
        <v>0</v>
      </c>
      <c r="Q61" s="771"/>
      <c r="R61" s="321"/>
      <c r="S61" s="711"/>
      <c r="T61" s="704"/>
      <c r="U61" s="710"/>
      <c r="V61" s="706"/>
      <c r="W61" s="707"/>
      <c r="X61" s="48"/>
    </row>
    <row r="62" spans="1:24" s="24" customFormat="1" ht="44.25" customHeight="1" hidden="1">
      <c r="A62" s="234" t="s">
        <v>534</v>
      </c>
      <c r="B62" s="116" t="s">
        <v>101</v>
      </c>
      <c r="C62" s="284" t="s">
        <v>508</v>
      </c>
      <c r="D62" s="327"/>
      <c r="E62" s="77"/>
      <c r="F62" s="317"/>
      <c r="G62" s="361">
        <f t="shared" si="2"/>
        <v>0</v>
      </c>
      <c r="H62" s="75">
        <f t="shared" si="3"/>
        <v>0</v>
      </c>
      <c r="I62" s="70"/>
      <c r="J62" s="317"/>
      <c r="K62" s="381"/>
      <c r="L62" s="113">
        <f aca="true" t="shared" si="4" ref="L62:L71">F62/2</f>
        <v>0</v>
      </c>
      <c r="M62" s="113"/>
      <c r="N62" s="113"/>
      <c r="O62" s="771">
        <f aca="true" t="shared" si="5" ref="O62:O70">E62</f>
        <v>0</v>
      </c>
      <c r="P62" s="113">
        <f aca="true" t="shared" si="6" ref="P62:P70">F62-L62-N62</f>
        <v>0</v>
      </c>
      <c r="Q62" s="771"/>
      <c r="R62" s="321"/>
      <c r="S62" s="711"/>
      <c r="T62" s="704"/>
      <c r="U62" s="710"/>
      <c r="V62" s="706"/>
      <c r="W62" s="707"/>
      <c r="X62" s="48"/>
    </row>
    <row r="63" spans="1:24" s="24" customFormat="1" ht="31.5" customHeight="1" hidden="1">
      <c r="A63" s="234" t="s">
        <v>484</v>
      </c>
      <c r="B63" s="72" t="s">
        <v>103</v>
      </c>
      <c r="C63" s="284" t="s">
        <v>508</v>
      </c>
      <c r="D63" s="327"/>
      <c r="E63" s="77"/>
      <c r="F63" s="345"/>
      <c r="G63" s="361">
        <f t="shared" si="2"/>
        <v>0</v>
      </c>
      <c r="H63" s="75">
        <f t="shared" si="3"/>
        <v>0</v>
      </c>
      <c r="I63" s="65"/>
      <c r="J63" s="345"/>
      <c r="K63" s="381"/>
      <c r="L63" s="113">
        <f t="shared" si="4"/>
        <v>0</v>
      </c>
      <c r="M63" s="113"/>
      <c r="N63" s="113"/>
      <c r="O63" s="771">
        <f t="shared" si="5"/>
        <v>0</v>
      </c>
      <c r="P63" s="113">
        <f t="shared" si="6"/>
        <v>0</v>
      </c>
      <c r="Q63" s="771"/>
      <c r="R63" s="321"/>
      <c r="S63" s="711"/>
      <c r="T63" s="704"/>
      <c r="U63" s="710"/>
      <c r="V63" s="706"/>
      <c r="W63" s="712"/>
      <c r="X63" s="48"/>
    </row>
    <row r="64" spans="1:24" s="24" customFormat="1" ht="47.25" customHeight="1" hidden="1">
      <c r="A64" s="234" t="s">
        <v>485</v>
      </c>
      <c r="B64" s="72" t="s">
        <v>104</v>
      </c>
      <c r="C64" s="284" t="s">
        <v>508</v>
      </c>
      <c r="D64" s="327"/>
      <c r="E64" s="77"/>
      <c r="F64" s="345"/>
      <c r="G64" s="361">
        <f t="shared" si="2"/>
        <v>0</v>
      </c>
      <c r="H64" s="75">
        <f t="shared" si="3"/>
        <v>0</v>
      </c>
      <c r="I64" s="65"/>
      <c r="J64" s="345"/>
      <c r="K64" s="381"/>
      <c r="L64" s="113">
        <f t="shared" si="4"/>
        <v>0</v>
      </c>
      <c r="M64" s="113"/>
      <c r="N64" s="113"/>
      <c r="O64" s="771">
        <f t="shared" si="5"/>
        <v>0</v>
      </c>
      <c r="P64" s="113">
        <f t="shared" si="6"/>
        <v>0</v>
      </c>
      <c r="Q64" s="771"/>
      <c r="R64" s="321"/>
      <c r="S64" s="711"/>
      <c r="T64" s="704"/>
      <c r="U64" s="710"/>
      <c r="V64" s="706"/>
      <c r="W64" s="712"/>
      <c r="X64" s="48"/>
    </row>
    <row r="65" spans="1:24" s="24" customFormat="1" ht="47.25" customHeight="1" hidden="1">
      <c r="A65" s="234" t="s">
        <v>232</v>
      </c>
      <c r="B65" s="72" t="s">
        <v>105</v>
      </c>
      <c r="C65" s="284" t="s">
        <v>508</v>
      </c>
      <c r="D65" s="327"/>
      <c r="E65" s="77"/>
      <c r="F65" s="345"/>
      <c r="G65" s="361">
        <f t="shared" si="2"/>
        <v>0</v>
      </c>
      <c r="H65" s="75">
        <f t="shared" si="3"/>
        <v>0</v>
      </c>
      <c r="I65" s="65"/>
      <c r="J65" s="345"/>
      <c r="K65" s="381"/>
      <c r="L65" s="113">
        <f t="shared" si="4"/>
        <v>0</v>
      </c>
      <c r="M65" s="113"/>
      <c r="N65" s="113"/>
      <c r="O65" s="771">
        <f t="shared" si="5"/>
        <v>0</v>
      </c>
      <c r="P65" s="113">
        <f t="shared" si="6"/>
        <v>0</v>
      </c>
      <c r="Q65" s="771"/>
      <c r="R65" s="321"/>
      <c r="S65" s="711"/>
      <c r="T65" s="704"/>
      <c r="U65" s="710"/>
      <c r="V65" s="706"/>
      <c r="W65" s="712"/>
      <c r="X65" s="48"/>
    </row>
    <row r="66" spans="1:24" s="25" customFormat="1" ht="51.75" customHeight="1" hidden="1">
      <c r="A66" s="234" t="s">
        <v>233</v>
      </c>
      <c r="B66" s="69" t="s">
        <v>162</v>
      </c>
      <c r="C66" s="284" t="s">
        <v>508</v>
      </c>
      <c r="D66" s="327"/>
      <c r="E66" s="70"/>
      <c r="F66" s="317"/>
      <c r="G66" s="361">
        <f t="shared" si="2"/>
        <v>0</v>
      </c>
      <c r="H66" s="75">
        <f t="shared" si="3"/>
        <v>0</v>
      </c>
      <c r="I66" s="70"/>
      <c r="J66" s="317"/>
      <c r="K66" s="590"/>
      <c r="L66" s="113">
        <f t="shared" si="4"/>
        <v>0</v>
      </c>
      <c r="M66" s="591"/>
      <c r="N66" s="585"/>
      <c r="O66" s="771">
        <f t="shared" si="5"/>
        <v>0</v>
      </c>
      <c r="P66" s="113">
        <f t="shared" si="6"/>
        <v>0</v>
      </c>
      <c r="Q66" s="817"/>
      <c r="R66" s="620"/>
      <c r="S66" s="711"/>
      <c r="T66" s="704"/>
      <c r="U66" s="710"/>
      <c r="V66" s="710"/>
      <c r="W66" s="716"/>
      <c r="X66" s="48"/>
    </row>
    <row r="67" spans="1:24" s="25" customFormat="1" ht="35.25" customHeight="1" hidden="1">
      <c r="A67" s="234" t="s">
        <v>483</v>
      </c>
      <c r="B67" s="69" t="s">
        <v>93</v>
      </c>
      <c r="C67" s="284" t="s">
        <v>508</v>
      </c>
      <c r="D67" s="327"/>
      <c r="E67" s="70"/>
      <c r="F67" s="317"/>
      <c r="G67" s="361">
        <f t="shared" si="2"/>
        <v>0</v>
      </c>
      <c r="H67" s="75">
        <f t="shared" si="3"/>
        <v>0</v>
      </c>
      <c r="I67" s="70"/>
      <c r="J67" s="317"/>
      <c r="K67" s="590"/>
      <c r="L67" s="113">
        <f t="shared" si="4"/>
        <v>0</v>
      </c>
      <c r="M67" s="591"/>
      <c r="N67" s="585"/>
      <c r="O67" s="771">
        <f t="shared" si="5"/>
        <v>0</v>
      </c>
      <c r="P67" s="113">
        <f t="shared" si="6"/>
        <v>0</v>
      </c>
      <c r="Q67" s="817"/>
      <c r="R67" s="620"/>
      <c r="S67" s="711"/>
      <c r="T67" s="704"/>
      <c r="U67" s="710"/>
      <c r="V67" s="710"/>
      <c r="W67" s="716"/>
      <c r="X67" s="48"/>
    </row>
    <row r="68" spans="1:24" s="829" customFormat="1" ht="49.5" customHeight="1">
      <c r="A68" s="693" t="s">
        <v>483</v>
      </c>
      <c r="B68" s="641" t="s">
        <v>102</v>
      </c>
      <c r="C68" s="692" t="s">
        <v>477</v>
      </c>
      <c r="D68" s="564">
        <f>F68/E68</f>
        <v>29.369328014857963</v>
      </c>
      <c r="E68" s="556">
        <f>5.065+4.296+4.497+1.936</f>
        <v>15.794</v>
      </c>
      <c r="F68" s="568">
        <f>(164.197+153.111+150.112+89.211)/1.2</f>
        <v>463.8591666666667</v>
      </c>
      <c r="G68" s="555">
        <f>E68</f>
        <v>15.794</v>
      </c>
      <c r="H68" s="822">
        <f t="shared" si="3"/>
        <v>463.8591666666667</v>
      </c>
      <c r="I68" s="556"/>
      <c r="J68" s="557"/>
      <c r="K68" s="823"/>
      <c r="L68" s="766"/>
      <c r="M68" s="824"/>
      <c r="N68" s="824"/>
      <c r="O68" s="793"/>
      <c r="P68" s="766">
        <f>F68*0.5</f>
        <v>231.92958333333334</v>
      </c>
      <c r="Q68" s="825">
        <f>E68</f>
        <v>15.794</v>
      </c>
      <c r="R68" s="826">
        <f>F68*0.5</f>
        <v>231.92958333333334</v>
      </c>
      <c r="S68" s="752" t="s">
        <v>726</v>
      </c>
      <c r="T68" s="827"/>
      <c r="U68" s="754" t="s">
        <v>834</v>
      </c>
      <c r="V68" s="754" t="s">
        <v>818</v>
      </c>
      <c r="W68" s="828"/>
      <c r="X68" s="48"/>
    </row>
    <row r="69" spans="1:24" s="25" customFormat="1" ht="54.75" customHeight="1" hidden="1">
      <c r="A69" s="234" t="s">
        <v>581</v>
      </c>
      <c r="B69" s="69" t="s">
        <v>383</v>
      </c>
      <c r="C69" s="284" t="s">
        <v>477</v>
      </c>
      <c r="D69" s="327"/>
      <c r="E69" s="70"/>
      <c r="F69" s="544"/>
      <c r="G69" s="361">
        <f t="shared" si="2"/>
        <v>0</v>
      </c>
      <c r="H69" s="75">
        <f t="shared" si="3"/>
        <v>0</v>
      </c>
      <c r="I69" s="545"/>
      <c r="J69" s="544"/>
      <c r="K69" s="590"/>
      <c r="L69" s="113">
        <f t="shared" si="4"/>
        <v>0</v>
      </c>
      <c r="M69" s="591"/>
      <c r="N69" s="585"/>
      <c r="O69" s="771">
        <f t="shared" si="5"/>
        <v>0</v>
      </c>
      <c r="P69" s="113">
        <f t="shared" si="6"/>
        <v>0</v>
      </c>
      <c r="Q69" s="817"/>
      <c r="R69" s="620"/>
      <c r="S69" s="711"/>
      <c r="T69" s="704" t="s">
        <v>712</v>
      </c>
      <c r="U69" s="710"/>
      <c r="V69" s="710"/>
      <c r="W69" s="716"/>
      <c r="X69" s="48"/>
    </row>
    <row r="70" spans="1:24" s="25" customFormat="1" ht="15.75" customHeight="1" hidden="1">
      <c r="A70" s="234" t="s">
        <v>235</v>
      </c>
      <c r="B70" s="69" t="s">
        <v>347</v>
      </c>
      <c r="C70" s="284" t="s">
        <v>477</v>
      </c>
      <c r="D70" s="327"/>
      <c r="E70" s="70"/>
      <c r="F70" s="544"/>
      <c r="G70" s="361">
        <f t="shared" si="2"/>
        <v>0</v>
      </c>
      <c r="H70" s="75">
        <f t="shared" si="3"/>
        <v>0</v>
      </c>
      <c r="I70" s="70"/>
      <c r="J70" s="317"/>
      <c r="K70" s="569"/>
      <c r="L70" s="113">
        <f t="shared" si="4"/>
        <v>0</v>
      </c>
      <c r="M70" s="74"/>
      <c r="N70" s="113"/>
      <c r="O70" s="771">
        <f t="shared" si="5"/>
        <v>0</v>
      </c>
      <c r="P70" s="113">
        <f t="shared" si="6"/>
        <v>0</v>
      </c>
      <c r="Q70" s="817"/>
      <c r="R70" s="620"/>
      <c r="S70" s="711"/>
      <c r="T70" s="704" t="s">
        <v>712</v>
      </c>
      <c r="U70" s="710"/>
      <c r="V70" s="710"/>
      <c r="W70" s="716"/>
      <c r="X70" s="48"/>
    </row>
    <row r="71" spans="1:24" s="25" customFormat="1" ht="15.75" hidden="1">
      <c r="A71" s="234" t="s">
        <v>236</v>
      </c>
      <c r="B71" s="69" t="s">
        <v>102</v>
      </c>
      <c r="C71" s="284" t="s">
        <v>477</v>
      </c>
      <c r="D71" s="327"/>
      <c r="E71" s="70"/>
      <c r="F71" s="317"/>
      <c r="G71" s="361">
        <f t="shared" si="2"/>
        <v>0</v>
      </c>
      <c r="H71" s="75">
        <f t="shared" si="3"/>
        <v>0</v>
      </c>
      <c r="I71" s="70"/>
      <c r="J71" s="317"/>
      <c r="K71" s="569"/>
      <c r="L71" s="113">
        <f t="shared" si="4"/>
        <v>0</v>
      </c>
      <c r="M71" s="74"/>
      <c r="N71" s="113"/>
      <c r="O71" s="771"/>
      <c r="P71" s="113"/>
      <c r="Q71" s="817"/>
      <c r="R71" s="620"/>
      <c r="S71" s="711"/>
      <c r="T71" s="704" t="s">
        <v>712</v>
      </c>
      <c r="U71" s="710"/>
      <c r="V71" s="710"/>
      <c r="W71" s="716"/>
      <c r="X71" s="48"/>
    </row>
    <row r="72" spans="1:24" s="24" customFormat="1" ht="16.5" customHeight="1" thickBot="1">
      <c r="A72" s="274"/>
      <c r="B72" s="227" t="s">
        <v>179</v>
      </c>
      <c r="C72" s="294"/>
      <c r="D72" s="346"/>
      <c r="E72" s="275"/>
      <c r="F72" s="347">
        <f>SUM(F61:F71)</f>
        <v>463.8591666666667</v>
      </c>
      <c r="G72" s="386"/>
      <c r="H72" s="267">
        <f>SUM(H61:H71)</f>
        <v>463.8591666666667</v>
      </c>
      <c r="I72" s="267"/>
      <c r="J72" s="347">
        <f>SUM(J61:J71)</f>
        <v>0</v>
      </c>
      <c r="K72" s="592"/>
      <c r="L72" s="267">
        <f>SUM(L61:L71)</f>
        <v>0</v>
      </c>
      <c r="M72" s="275"/>
      <c r="N72" s="267">
        <f>SUM(N61:N71)</f>
        <v>0</v>
      </c>
      <c r="O72" s="780"/>
      <c r="P72" s="267">
        <f>SUM(P61:P71)</f>
        <v>231.92958333333334</v>
      </c>
      <c r="Q72" s="780"/>
      <c r="R72" s="347">
        <f>SUM(R61:R71)</f>
        <v>231.92958333333334</v>
      </c>
      <c r="S72" s="717"/>
      <c r="T72" s="718"/>
      <c r="U72" s="715"/>
      <c r="V72" s="719"/>
      <c r="W72" s="720"/>
      <c r="X72" s="48"/>
    </row>
    <row r="73" spans="1:27" s="24" customFormat="1" ht="18" customHeight="1" thickBot="1">
      <c r="A73" s="258" t="s">
        <v>206</v>
      </c>
      <c r="B73" s="259"/>
      <c r="C73" s="295"/>
      <c r="D73" s="348"/>
      <c r="E73" s="260"/>
      <c r="F73" s="349">
        <f>F59+F72</f>
        <v>54236.414500000006</v>
      </c>
      <c r="G73" s="387"/>
      <c r="H73" s="261">
        <f>H59+H72</f>
        <v>54236.414500000006</v>
      </c>
      <c r="I73" s="261"/>
      <c r="J73" s="349">
        <f>J59+J72</f>
        <v>0</v>
      </c>
      <c r="K73" s="348"/>
      <c r="L73" s="261">
        <f>L59+L72</f>
        <v>12671.664833333332</v>
      </c>
      <c r="M73" s="260"/>
      <c r="N73" s="261">
        <f>N59+N72</f>
        <v>18155.545000000002</v>
      </c>
      <c r="O73" s="781"/>
      <c r="P73" s="261">
        <f>P59+P72</f>
        <v>13254.795</v>
      </c>
      <c r="Q73" s="781"/>
      <c r="R73" s="349">
        <f>R59+R72</f>
        <v>10154.409666666666</v>
      </c>
      <c r="S73" s="721"/>
      <c r="T73" s="722"/>
      <c r="U73" s="723"/>
      <c r="V73" s="723"/>
      <c r="W73" s="724"/>
      <c r="X73" s="48"/>
      <c r="Y73" s="49"/>
      <c r="AA73" s="48"/>
    </row>
    <row r="74" spans="1:24" s="24" customFormat="1" ht="18" customHeight="1">
      <c r="A74" s="940" t="s">
        <v>180</v>
      </c>
      <c r="B74" s="941"/>
      <c r="C74" s="296"/>
      <c r="D74" s="276"/>
      <c r="E74" s="277"/>
      <c r="F74" s="350"/>
      <c r="G74" s="388"/>
      <c r="H74" s="277"/>
      <c r="I74" s="277"/>
      <c r="J74" s="350"/>
      <c r="K74" s="593"/>
      <c r="L74" s="594"/>
      <c r="M74" s="594"/>
      <c r="N74" s="594"/>
      <c r="O74" s="782"/>
      <c r="P74" s="594"/>
      <c r="Q74" s="782"/>
      <c r="R74" s="626"/>
      <c r="S74" s="725"/>
      <c r="T74" s="726"/>
      <c r="U74" s="727"/>
      <c r="V74" s="726"/>
      <c r="W74" s="728"/>
      <c r="X74" s="48"/>
    </row>
    <row r="75" spans="1:27" s="24" customFormat="1" ht="21" customHeight="1">
      <c r="A75" s="546" t="s">
        <v>42</v>
      </c>
      <c r="B75" s="83" t="s">
        <v>429</v>
      </c>
      <c r="C75" s="228"/>
      <c r="D75" s="315"/>
      <c r="E75" s="85"/>
      <c r="F75" s="224"/>
      <c r="G75" s="344"/>
      <c r="H75" s="85"/>
      <c r="I75" s="85"/>
      <c r="J75" s="224"/>
      <c r="K75" s="381"/>
      <c r="L75" s="113"/>
      <c r="M75" s="113"/>
      <c r="N75" s="113"/>
      <c r="O75" s="771"/>
      <c r="P75" s="113"/>
      <c r="Q75" s="771"/>
      <c r="R75" s="321"/>
      <c r="S75" s="709"/>
      <c r="T75" s="704"/>
      <c r="U75" s="710"/>
      <c r="V75" s="706"/>
      <c r="W75" s="707"/>
      <c r="X75" s="48"/>
      <c r="Z75" s="48"/>
      <c r="AA75" s="48"/>
    </row>
    <row r="76" spans="1:27" s="24" customFormat="1" ht="21" customHeight="1">
      <c r="A76" s="232" t="s">
        <v>43</v>
      </c>
      <c r="B76" s="62" t="s">
        <v>219</v>
      </c>
      <c r="C76" s="228"/>
      <c r="D76" s="315"/>
      <c r="E76" s="85"/>
      <c r="F76" s="224"/>
      <c r="G76" s="344"/>
      <c r="H76" s="85"/>
      <c r="I76" s="85"/>
      <c r="J76" s="224"/>
      <c r="K76" s="381"/>
      <c r="L76" s="113"/>
      <c r="M76" s="113"/>
      <c r="N76" s="113"/>
      <c r="O76" s="771"/>
      <c r="P76" s="113"/>
      <c r="Q76" s="771"/>
      <c r="R76" s="321"/>
      <c r="S76" s="709"/>
      <c r="T76" s="704"/>
      <c r="U76" s="710"/>
      <c r="V76" s="706"/>
      <c r="W76" s="707"/>
      <c r="X76" s="48"/>
      <c r="Z76" s="48"/>
      <c r="AA76" s="48"/>
    </row>
    <row r="77" spans="1:27" s="24" customFormat="1" ht="48" customHeight="1">
      <c r="A77" s="221" t="s">
        <v>234</v>
      </c>
      <c r="B77" s="69" t="s">
        <v>518</v>
      </c>
      <c r="C77" s="228" t="s">
        <v>74</v>
      </c>
      <c r="D77" s="564"/>
      <c r="E77" s="556"/>
      <c r="F77" s="568">
        <v>1200</v>
      </c>
      <c r="G77" s="344"/>
      <c r="H77" s="85"/>
      <c r="I77" s="85">
        <f>E77</f>
        <v>0</v>
      </c>
      <c r="J77" s="224">
        <f>F77</f>
        <v>1200</v>
      </c>
      <c r="K77" s="381"/>
      <c r="L77" s="113"/>
      <c r="M77" s="113"/>
      <c r="N77" s="113"/>
      <c r="O77" s="771"/>
      <c r="P77" s="113"/>
      <c r="Q77" s="771"/>
      <c r="R77" s="321">
        <f>F77</f>
        <v>1200</v>
      </c>
      <c r="S77" s="711" t="s">
        <v>726</v>
      </c>
      <c r="T77" s="704"/>
      <c r="U77" s="710" t="s">
        <v>841</v>
      </c>
      <c r="V77" s="706"/>
      <c r="W77" s="707"/>
      <c r="X77" s="48"/>
      <c r="Z77" s="48"/>
      <c r="AA77" s="48"/>
    </row>
    <row r="78" spans="1:27" s="24" customFormat="1" ht="48" customHeight="1">
      <c r="A78" s="221" t="s">
        <v>360</v>
      </c>
      <c r="B78" s="69" t="s">
        <v>666</v>
      </c>
      <c r="C78" s="284" t="s">
        <v>74</v>
      </c>
      <c r="D78" s="564"/>
      <c r="E78" s="556"/>
      <c r="F78" s="568">
        <v>300</v>
      </c>
      <c r="G78" s="344"/>
      <c r="H78" s="85"/>
      <c r="I78" s="85">
        <f>E78</f>
        <v>0</v>
      </c>
      <c r="J78" s="224">
        <f>F78</f>
        <v>300</v>
      </c>
      <c r="K78" s="381"/>
      <c r="L78" s="113"/>
      <c r="M78" s="113"/>
      <c r="N78" s="113"/>
      <c r="O78" s="771"/>
      <c r="P78" s="113"/>
      <c r="Q78" s="818"/>
      <c r="R78" s="321">
        <f>F78</f>
        <v>300</v>
      </c>
      <c r="S78" s="711" t="s">
        <v>726</v>
      </c>
      <c r="T78" s="704"/>
      <c r="U78" s="710" t="s">
        <v>841</v>
      </c>
      <c r="V78" s="706"/>
      <c r="W78" s="707"/>
      <c r="X78" s="48"/>
      <c r="Z78" s="48"/>
      <c r="AA78" s="48"/>
    </row>
    <row r="79" spans="1:27" s="24" customFormat="1" ht="16.5" customHeight="1">
      <c r="A79" s="546"/>
      <c r="B79" s="62" t="s">
        <v>220</v>
      </c>
      <c r="C79" s="297"/>
      <c r="D79" s="351"/>
      <c r="E79" s="634"/>
      <c r="F79" s="319">
        <f>SUM(F77:F78)</f>
        <v>1500</v>
      </c>
      <c r="G79" s="318"/>
      <c r="H79" s="63">
        <f>SUM(H77:H78)</f>
        <v>0</v>
      </c>
      <c r="I79" s="63"/>
      <c r="J79" s="319">
        <f>SUM(J77:J78)</f>
        <v>1500</v>
      </c>
      <c r="K79" s="351"/>
      <c r="L79" s="63">
        <f>SUM(L77:L78)</f>
        <v>0</v>
      </c>
      <c r="M79" s="86"/>
      <c r="N79" s="63">
        <f>SUM(N77:N78)</f>
        <v>0</v>
      </c>
      <c r="O79" s="783"/>
      <c r="P79" s="63">
        <f>SUM(P77:P78)</f>
        <v>0</v>
      </c>
      <c r="Q79" s="783"/>
      <c r="R79" s="319">
        <f>SUM(R77:R78)</f>
        <v>1500</v>
      </c>
      <c r="S79" s="709"/>
      <c r="T79" s="704"/>
      <c r="U79" s="710"/>
      <c r="V79" s="706"/>
      <c r="W79" s="707"/>
      <c r="X79" s="48"/>
      <c r="Z79" s="48"/>
      <c r="AA79" s="48"/>
    </row>
    <row r="80" spans="1:27" s="24" customFormat="1" ht="51" customHeight="1" hidden="1">
      <c r="A80" s="232" t="s">
        <v>221</v>
      </c>
      <c r="B80" s="62" t="s">
        <v>222</v>
      </c>
      <c r="C80" s="228"/>
      <c r="D80" s="315"/>
      <c r="E80" s="85"/>
      <c r="F80" s="224"/>
      <c r="G80" s="344"/>
      <c r="H80" s="85"/>
      <c r="I80" s="85"/>
      <c r="J80" s="224"/>
      <c r="K80" s="381"/>
      <c r="L80" s="113"/>
      <c r="M80" s="113"/>
      <c r="N80" s="113"/>
      <c r="O80" s="771"/>
      <c r="P80" s="113"/>
      <c r="Q80" s="771"/>
      <c r="R80" s="321"/>
      <c r="S80" s="709"/>
      <c r="T80" s="704"/>
      <c r="U80" s="710"/>
      <c r="V80" s="706"/>
      <c r="W80" s="707"/>
      <c r="X80" s="48"/>
      <c r="Z80" s="48"/>
      <c r="AA80" s="48"/>
    </row>
    <row r="81" spans="1:27" s="24" customFormat="1" ht="51" customHeight="1" hidden="1">
      <c r="A81" s="221" t="s">
        <v>667</v>
      </c>
      <c r="B81" s="69" t="s">
        <v>668</v>
      </c>
      <c r="C81" s="228" t="s">
        <v>536</v>
      </c>
      <c r="D81" s="344"/>
      <c r="E81" s="85"/>
      <c r="F81" s="224"/>
      <c r="G81" s="344"/>
      <c r="H81" s="85"/>
      <c r="I81" s="85"/>
      <c r="J81" s="224"/>
      <c r="K81" s="381"/>
      <c r="L81" s="113"/>
      <c r="M81" s="113"/>
      <c r="N81" s="113"/>
      <c r="O81" s="771"/>
      <c r="P81" s="113"/>
      <c r="Q81" s="771"/>
      <c r="R81" s="321"/>
      <c r="S81" s="709"/>
      <c r="T81" s="704"/>
      <c r="U81" s="710"/>
      <c r="V81" s="706"/>
      <c r="W81" s="707"/>
      <c r="X81" s="48"/>
      <c r="Z81" s="48"/>
      <c r="AA81" s="48"/>
    </row>
    <row r="82" spans="1:27" s="24" customFormat="1" ht="17.25" customHeight="1" hidden="1">
      <c r="A82" s="546"/>
      <c r="B82" s="62" t="s">
        <v>223</v>
      </c>
      <c r="C82" s="297"/>
      <c r="D82" s="351"/>
      <c r="E82" s="634"/>
      <c r="F82" s="319">
        <f>SUM(F81)</f>
        <v>0</v>
      </c>
      <c r="G82" s="318"/>
      <c r="H82" s="63">
        <f>SUM(H81)</f>
        <v>0</v>
      </c>
      <c r="I82" s="63"/>
      <c r="J82" s="319">
        <f>SUM(J81)</f>
        <v>0</v>
      </c>
      <c r="K82" s="351"/>
      <c r="L82" s="63">
        <f>SUM(L80:L81)</f>
        <v>0</v>
      </c>
      <c r="M82" s="86"/>
      <c r="N82" s="63">
        <f>SUM(N80:N81)</f>
        <v>0</v>
      </c>
      <c r="O82" s="783"/>
      <c r="P82" s="63">
        <f>SUM(P80:P81)</f>
        <v>0</v>
      </c>
      <c r="Q82" s="783"/>
      <c r="R82" s="319">
        <f>SUM(R80:R81)</f>
        <v>0</v>
      </c>
      <c r="S82" s="709"/>
      <c r="T82" s="704"/>
      <c r="U82" s="710"/>
      <c r="V82" s="706"/>
      <c r="W82" s="707"/>
      <c r="X82" s="48"/>
      <c r="Z82" s="48"/>
      <c r="AA82" s="48"/>
    </row>
    <row r="83" spans="1:27" s="24" customFormat="1" ht="21" customHeight="1" hidden="1">
      <c r="A83" s="232" t="s">
        <v>224</v>
      </c>
      <c r="B83" s="62" t="s">
        <v>225</v>
      </c>
      <c r="C83" s="228"/>
      <c r="D83" s="315"/>
      <c r="E83" s="85"/>
      <c r="F83" s="224"/>
      <c r="G83" s="344"/>
      <c r="H83" s="85"/>
      <c r="I83" s="85"/>
      <c r="J83" s="224"/>
      <c r="K83" s="381"/>
      <c r="L83" s="113"/>
      <c r="M83" s="113"/>
      <c r="N83" s="113"/>
      <c r="O83" s="771"/>
      <c r="P83" s="113"/>
      <c r="Q83" s="771"/>
      <c r="R83" s="321"/>
      <c r="S83" s="709"/>
      <c r="T83" s="704"/>
      <c r="U83" s="710"/>
      <c r="V83" s="706"/>
      <c r="W83" s="707"/>
      <c r="X83" s="48"/>
      <c r="Z83" s="48"/>
      <c r="AA83" s="48"/>
    </row>
    <row r="84" spans="1:27" s="24" customFormat="1" ht="21" customHeight="1" hidden="1">
      <c r="A84" s="546"/>
      <c r="B84" s="62" t="s">
        <v>226</v>
      </c>
      <c r="C84" s="297"/>
      <c r="D84" s="351"/>
      <c r="E84" s="634"/>
      <c r="F84" s="319">
        <f>SUM(F83)</f>
        <v>0</v>
      </c>
      <c r="G84" s="318"/>
      <c r="H84" s="63"/>
      <c r="I84" s="63"/>
      <c r="J84" s="319"/>
      <c r="K84" s="351"/>
      <c r="L84" s="63">
        <f>SUM(L83)</f>
        <v>0</v>
      </c>
      <c r="M84" s="86"/>
      <c r="N84" s="63">
        <f>SUM(N83)</f>
        <v>0</v>
      </c>
      <c r="O84" s="783"/>
      <c r="P84" s="63">
        <f>SUM(P83)</f>
        <v>0</v>
      </c>
      <c r="Q84" s="783"/>
      <c r="R84" s="319">
        <f>SUM(R83)</f>
        <v>0</v>
      </c>
      <c r="S84" s="709"/>
      <c r="T84" s="704"/>
      <c r="U84" s="710"/>
      <c r="V84" s="706"/>
      <c r="W84" s="707"/>
      <c r="X84" s="48"/>
      <c r="Z84" s="48"/>
      <c r="AA84" s="48"/>
    </row>
    <row r="85" spans="1:24" s="24" customFormat="1" ht="33.75" customHeight="1">
      <c r="A85" s="232" t="s">
        <v>764</v>
      </c>
      <c r="B85" s="62" t="s">
        <v>430</v>
      </c>
      <c r="C85" s="298"/>
      <c r="D85" s="352"/>
      <c r="E85" s="88"/>
      <c r="F85" s="222"/>
      <c r="G85" s="353"/>
      <c r="H85" s="88"/>
      <c r="I85" s="88"/>
      <c r="J85" s="222"/>
      <c r="K85" s="381"/>
      <c r="L85" s="113"/>
      <c r="M85" s="113"/>
      <c r="N85" s="113"/>
      <c r="O85" s="771"/>
      <c r="P85" s="113"/>
      <c r="Q85" s="771"/>
      <c r="R85" s="321"/>
      <c r="S85" s="709"/>
      <c r="T85" s="704"/>
      <c r="U85" s="710"/>
      <c r="V85" s="706"/>
      <c r="W85" s="707"/>
      <c r="X85" s="48"/>
    </row>
    <row r="86" spans="1:24" s="837" customFormat="1" ht="38.25" customHeight="1">
      <c r="A86" s="830" t="s">
        <v>765</v>
      </c>
      <c r="B86" s="641" t="s">
        <v>669</v>
      </c>
      <c r="C86" s="694" t="s">
        <v>536</v>
      </c>
      <c r="D86" s="564">
        <v>1</v>
      </c>
      <c r="E86" s="556">
        <v>100</v>
      </c>
      <c r="F86" s="568">
        <f aca="true" t="shared" si="7" ref="F86:F91">D86*E86</f>
        <v>100</v>
      </c>
      <c r="G86" s="831"/>
      <c r="H86" s="832"/>
      <c r="I86" s="832">
        <f aca="true" t="shared" si="8" ref="I86:I91">E86</f>
        <v>100</v>
      </c>
      <c r="J86" s="697">
        <f aca="true" t="shared" si="9" ref="J86:J91">F86</f>
        <v>100</v>
      </c>
      <c r="K86" s="833"/>
      <c r="L86" s="766"/>
      <c r="M86" s="834"/>
      <c r="N86" s="766"/>
      <c r="O86" s="835">
        <f>E86</f>
        <v>100</v>
      </c>
      <c r="P86" s="766">
        <v>100</v>
      </c>
      <c r="Q86" s="835"/>
      <c r="R86" s="643"/>
      <c r="S86" s="752" t="s">
        <v>727</v>
      </c>
      <c r="T86" s="827"/>
      <c r="U86" s="954" t="s">
        <v>842</v>
      </c>
      <c r="V86" s="957" t="s">
        <v>819</v>
      </c>
      <c r="W86" s="836"/>
      <c r="X86" s="48"/>
    </row>
    <row r="87" spans="1:24" s="837" customFormat="1" ht="38.25" customHeight="1">
      <c r="A87" s="830" t="s">
        <v>766</v>
      </c>
      <c r="B87" s="641" t="s">
        <v>714</v>
      </c>
      <c r="C87" s="694" t="s">
        <v>536</v>
      </c>
      <c r="D87" s="564">
        <v>1.6</v>
      </c>
      <c r="E87" s="556">
        <v>250</v>
      </c>
      <c r="F87" s="568">
        <f t="shared" si="7"/>
        <v>400</v>
      </c>
      <c r="G87" s="831"/>
      <c r="H87" s="832"/>
      <c r="I87" s="832">
        <f t="shared" si="8"/>
        <v>250</v>
      </c>
      <c r="J87" s="697">
        <f t="shared" si="9"/>
        <v>400</v>
      </c>
      <c r="K87" s="833"/>
      <c r="L87" s="766"/>
      <c r="M87" s="834"/>
      <c r="N87" s="766"/>
      <c r="O87" s="835">
        <f>E87</f>
        <v>250</v>
      </c>
      <c r="P87" s="766">
        <v>400</v>
      </c>
      <c r="Q87" s="835"/>
      <c r="R87" s="643"/>
      <c r="S87" s="752" t="s">
        <v>727</v>
      </c>
      <c r="T87" s="827"/>
      <c r="U87" s="955"/>
      <c r="V87" s="958"/>
      <c r="W87" s="836"/>
      <c r="X87" s="48"/>
    </row>
    <row r="88" spans="1:24" s="24" customFormat="1" ht="38.25" customHeight="1">
      <c r="A88" s="830" t="s">
        <v>767</v>
      </c>
      <c r="B88" s="69" t="s">
        <v>670</v>
      </c>
      <c r="C88" s="298" t="s">
        <v>536</v>
      </c>
      <c r="D88" s="564">
        <v>0.3</v>
      </c>
      <c r="E88" s="556">
        <v>8550</v>
      </c>
      <c r="F88" s="568">
        <f t="shared" si="7"/>
        <v>2565</v>
      </c>
      <c r="G88" s="353"/>
      <c r="H88" s="88"/>
      <c r="I88" s="85">
        <f t="shared" si="8"/>
        <v>8550</v>
      </c>
      <c r="J88" s="224">
        <f t="shared" si="9"/>
        <v>2565</v>
      </c>
      <c r="K88" s="569"/>
      <c r="L88" s="113">
        <f>F88/3</f>
        <v>855</v>
      </c>
      <c r="M88" s="65"/>
      <c r="N88" s="113"/>
      <c r="O88" s="784"/>
      <c r="P88" s="113">
        <f>F88/3</f>
        <v>855</v>
      </c>
      <c r="Q88" s="784">
        <f>E88</f>
        <v>8550</v>
      </c>
      <c r="R88" s="321">
        <f>F88/3</f>
        <v>855</v>
      </c>
      <c r="S88" s="711" t="s">
        <v>727</v>
      </c>
      <c r="T88" s="704"/>
      <c r="U88" s="955"/>
      <c r="V88" s="958"/>
      <c r="W88" s="729"/>
      <c r="X88" s="48"/>
    </row>
    <row r="89" spans="1:24" s="24" customFormat="1" ht="38.25" customHeight="1">
      <c r="A89" s="830" t="s">
        <v>768</v>
      </c>
      <c r="B89" s="69" t="s">
        <v>671</v>
      </c>
      <c r="C89" s="298" t="s">
        <v>536</v>
      </c>
      <c r="D89" s="564">
        <v>1.05</v>
      </c>
      <c r="E89" s="556">
        <v>850</v>
      </c>
      <c r="F89" s="568">
        <f t="shared" si="7"/>
        <v>892.5</v>
      </c>
      <c r="G89" s="353"/>
      <c r="H89" s="88"/>
      <c r="I89" s="85">
        <f t="shared" si="8"/>
        <v>850</v>
      </c>
      <c r="J89" s="224">
        <f t="shared" si="9"/>
        <v>892.5</v>
      </c>
      <c r="K89" s="569"/>
      <c r="L89" s="113">
        <f>F89/3</f>
        <v>297.5</v>
      </c>
      <c r="M89" s="65"/>
      <c r="N89" s="113"/>
      <c r="O89" s="784"/>
      <c r="P89" s="113">
        <f>F89/3</f>
        <v>297.5</v>
      </c>
      <c r="Q89" s="784">
        <f>E89</f>
        <v>850</v>
      </c>
      <c r="R89" s="321">
        <f>F89/3</f>
        <v>297.5</v>
      </c>
      <c r="S89" s="711" t="s">
        <v>727</v>
      </c>
      <c r="T89" s="704"/>
      <c r="U89" s="955"/>
      <c r="V89" s="958"/>
      <c r="W89" s="729"/>
      <c r="X89" s="48"/>
    </row>
    <row r="90" spans="1:24" s="24" customFormat="1" ht="47.25" customHeight="1">
      <c r="A90" s="830" t="s">
        <v>769</v>
      </c>
      <c r="B90" s="69" t="s">
        <v>672</v>
      </c>
      <c r="C90" s="298" t="s">
        <v>536</v>
      </c>
      <c r="D90" s="564">
        <f>1.14/1.2</f>
        <v>0.95</v>
      </c>
      <c r="E90" s="556">
        <v>200</v>
      </c>
      <c r="F90" s="568">
        <f t="shared" si="7"/>
        <v>190</v>
      </c>
      <c r="G90" s="353"/>
      <c r="H90" s="88"/>
      <c r="I90" s="85">
        <f t="shared" si="8"/>
        <v>200</v>
      </c>
      <c r="J90" s="224">
        <f t="shared" si="9"/>
        <v>190</v>
      </c>
      <c r="K90" s="569"/>
      <c r="L90" s="113">
        <f>F90/3</f>
        <v>63.333333333333336</v>
      </c>
      <c r="M90" s="65"/>
      <c r="N90" s="113"/>
      <c r="O90" s="784"/>
      <c r="P90" s="113">
        <f>F90/3</f>
        <v>63.333333333333336</v>
      </c>
      <c r="Q90" s="784">
        <v>200</v>
      </c>
      <c r="R90" s="321">
        <f>F90/3</f>
        <v>63.333333333333336</v>
      </c>
      <c r="S90" s="711" t="s">
        <v>727</v>
      </c>
      <c r="T90" s="704"/>
      <c r="U90" s="955"/>
      <c r="V90" s="958"/>
      <c r="W90" s="729"/>
      <c r="X90" s="48"/>
    </row>
    <row r="91" spans="1:24" s="24" customFormat="1" ht="42" customHeight="1">
      <c r="A91" s="830" t="s">
        <v>770</v>
      </c>
      <c r="B91" s="69" t="s">
        <v>673</v>
      </c>
      <c r="C91" s="298" t="s">
        <v>536</v>
      </c>
      <c r="D91" s="564">
        <f>2.4/1.2</f>
        <v>2</v>
      </c>
      <c r="E91" s="556">
        <v>200</v>
      </c>
      <c r="F91" s="568">
        <f t="shared" si="7"/>
        <v>400</v>
      </c>
      <c r="G91" s="353"/>
      <c r="H91" s="88"/>
      <c r="I91" s="85">
        <f t="shared" si="8"/>
        <v>200</v>
      </c>
      <c r="J91" s="224">
        <f t="shared" si="9"/>
        <v>400</v>
      </c>
      <c r="K91" s="569"/>
      <c r="L91" s="113">
        <f>F91/3</f>
        <v>133.33333333333334</v>
      </c>
      <c r="M91" s="65"/>
      <c r="N91" s="113"/>
      <c r="O91" s="784"/>
      <c r="P91" s="113">
        <f>F91/3</f>
        <v>133.33333333333334</v>
      </c>
      <c r="Q91" s="784">
        <v>200</v>
      </c>
      <c r="R91" s="321">
        <f>F91/3</f>
        <v>133.33333333333334</v>
      </c>
      <c r="S91" s="711" t="s">
        <v>727</v>
      </c>
      <c r="T91" s="704"/>
      <c r="U91" s="956"/>
      <c r="V91" s="959"/>
      <c r="W91" s="729"/>
      <c r="X91" s="48"/>
    </row>
    <row r="92" spans="1:24" s="24" customFormat="1" ht="16.5" customHeight="1">
      <c r="A92" s="223"/>
      <c r="B92" s="67" t="s">
        <v>771</v>
      </c>
      <c r="C92" s="299"/>
      <c r="D92" s="354"/>
      <c r="E92" s="635"/>
      <c r="F92" s="225">
        <f>SUM(F86:F91)</f>
        <v>4547.5</v>
      </c>
      <c r="G92" s="389"/>
      <c r="H92" s="229">
        <f>SUM(H86:H91)</f>
        <v>0</v>
      </c>
      <c r="I92" s="229"/>
      <c r="J92" s="225">
        <f>SUM(J86:J91)</f>
        <v>4547.5</v>
      </c>
      <c r="K92" s="595"/>
      <c r="L92" s="229">
        <f>SUM(L86:L91)</f>
        <v>1349.1666666666665</v>
      </c>
      <c r="M92" s="596"/>
      <c r="N92" s="229">
        <f>SUM(N86:N91)</f>
        <v>0</v>
      </c>
      <c r="O92" s="785"/>
      <c r="P92" s="229">
        <f>SUM(P86:P91)</f>
        <v>1849.1666666666665</v>
      </c>
      <c r="Q92" s="785"/>
      <c r="R92" s="225">
        <f>SUM(R86:R91)</f>
        <v>1349.1666666666665</v>
      </c>
      <c r="S92" s="711"/>
      <c r="T92" s="704"/>
      <c r="U92" s="710"/>
      <c r="V92" s="706"/>
      <c r="W92" s="729"/>
      <c r="X92" s="48"/>
    </row>
    <row r="93" spans="1:24" s="24" customFormat="1" ht="16.5" customHeight="1">
      <c r="A93" s="223"/>
      <c r="B93" s="83" t="s">
        <v>181</v>
      </c>
      <c r="C93" s="300"/>
      <c r="D93" s="355"/>
      <c r="E93" s="230"/>
      <c r="F93" s="356">
        <f>F79+F82+F84+F92</f>
        <v>6047.5</v>
      </c>
      <c r="G93" s="390"/>
      <c r="H93" s="117">
        <f>H79+H82+H84+H92</f>
        <v>0</v>
      </c>
      <c r="I93" s="117"/>
      <c r="J93" s="356">
        <f>J79+J82+J84+J92</f>
        <v>6047.5</v>
      </c>
      <c r="K93" s="597"/>
      <c r="L93" s="117">
        <f>L79+L82+L84+L92</f>
        <v>1349.1666666666665</v>
      </c>
      <c r="M93" s="598"/>
      <c r="N93" s="117">
        <f>N79+N82+N84+N92</f>
        <v>0</v>
      </c>
      <c r="O93" s="786"/>
      <c r="P93" s="117">
        <f>P79+P82+P84+P92</f>
        <v>1849.1666666666665</v>
      </c>
      <c r="Q93" s="786"/>
      <c r="R93" s="356">
        <f>R79+R82+R84+R92</f>
        <v>2849.1666666666665</v>
      </c>
      <c r="S93" s="711"/>
      <c r="T93" s="704"/>
      <c r="U93" s="710"/>
      <c r="V93" s="706"/>
      <c r="W93" s="729"/>
      <c r="X93" s="48"/>
    </row>
    <row r="94" spans="1:24" s="24" customFormat="1" ht="16.5" customHeight="1">
      <c r="A94" s="546" t="s">
        <v>44</v>
      </c>
      <c r="B94" s="83" t="s">
        <v>462</v>
      </c>
      <c r="C94" s="300"/>
      <c r="D94" s="355"/>
      <c r="E94" s="230"/>
      <c r="F94" s="226"/>
      <c r="G94" s="391"/>
      <c r="H94" s="230"/>
      <c r="I94" s="230"/>
      <c r="J94" s="226"/>
      <c r="K94" s="597"/>
      <c r="L94" s="599"/>
      <c r="M94" s="598"/>
      <c r="N94" s="599"/>
      <c r="O94" s="786"/>
      <c r="P94" s="599"/>
      <c r="Q94" s="786"/>
      <c r="R94" s="627"/>
      <c r="S94" s="711"/>
      <c r="T94" s="704"/>
      <c r="U94" s="710"/>
      <c r="V94" s="706"/>
      <c r="W94" s="729"/>
      <c r="X94" s="48"/>
    </row>
    <row r="95" spans="1:24" s="24" customFormat="1" ht="40.5" customHeight="1">
      <c r="A95" s="547" t="s">
        <v>553</v>
      </c>
      <c r="B95" s="69" t="s">
        <v>674</v>
      </c>
      <c r="C95" s="228" t="s">
        <v>536</v>
      </c>
      <c r="D95" s="564">
        <v>0.013</v>
      </c>
      <c r="E95" s="556">
        <v>18000</v>
      </c>
      <c r="F95" s="568">
        <f>D95*E95</f>
        <v>234</v>
      </c>
      <c r="G95" s="344"/>
      <c r="H95" s="85"/>
      <c r="I95" s="85">
        <f aca="true" t="shared" si="10" ref="I95:J97">E95</f>
        <v>18000</v>
      </c>
      <c r="J95" s="224">
        <f t="shared" si="10"/>
        <v>234</v>
      </c>
      <c r="K95" s="569">
        <f aca="true" t="shared" si="11" ref="K95:L98">E95</f>
        <v>18000</v>
      </c>
      <c r="L95" s="113">
        <f t="shared" si="11"/>
        <v>234</v>
      </c>
      <c r="M95" s="65"/>
      <c r="N95" s="113"/>
      <c r="O95" s="784"/>
      <c r="P95" s="113"/>
      <c r="Q95" s="784"/>
      <c r="R95" s="321"/>
      <c r="S95" s="711" t="s">
        <v>727</v>
      </c>
      <c r="T95" s="704"/>
      <c r="U95" s="710" t="s">
        <v>843</v>
      </c>
      <c r="V95" s="960" t="s">
        <v>821</v>
      </c>
      <c r="W95" s="729"/>
      <c r="X95" s="48"/>
    </row>
    <row r="96" spans="1:24" s="24" customFormat="1" ht="40.5" customHeight="1">
      <c r="A96" s="547" t="s">
        <v>538</v>
      </c>
      <c r="B96" s="69" t="s">
        <v>855</v>
      </c>
      <c r="C96" s="228" t="s">
        <v>536</v>
      </c>
      <c r="D96" s="564">
        <v>2.86</v>
      </c>
      <c r="E96" s="556">
        <v>22</v>
      </c>
      <c r="F96" s="568">
        <f>D96*E96</f>
        <v>62.919999999999995</v>
      </c>
      <c r="G96" s="344"/>
      <c r="H96" s="85"/>
      <c r="I96" s="85">
        <f t="shared" si="10"/>
        <v>22</v>
      </c>
      <c r="J96" s="224">
        <f t="shared" si="10"/>
        <v>62.919999999999995</v>
      </c>
      <c r="K96" s="569">
        <f t="shared" si="11"/>
        <v>22</v>
      </c>
      <c r="L96" s="113">
        <f t="shared" si="11"/>
        <v>62.919999999999995</v>
      </c>
      <c r="M96" s="65"/>
      <c r="N96" s="113"/>
      <c r="O96" s="784"/>
      <c r="P96" s="113"/>
      <c r="Q96" s="784"/>
      <c r="R96" s="321"/>
      <c r="S96" s="711" t="s">
        <v>727</v>
      </c>
      <c r="T96" s="704"/>
      <c r="U96" s="710" t="s">
        <v>843</v>
      </c>
      <c r="V96" s="961"/>
      <c r="W96" s="729"/>
      <c r="X96" s="48"/>
    </row>
    <row r="97" spans="1:24" s="24" customFormat="1" ht="40.5" customHeight="1">
      <c r="A97" s="547" t="s">
        <v>675</v>
      </c>
      <c r="B97" s="69" t="s">
        <v>856</v>
      </c>
      <c r="C97" s="228" t="s">
        <v>536</v>
      </c>
      <c r="D97" s="564">
        <v>7.68</v>
      </c>
      <c r="E97" s="556">
        <v>18</v>
      </c>
      <c r="F97" s="568">
        <f>D97*E97</f>
        <v>138.24</v>
      </c>
      <c r="G97" s="344"/>
      <c r="H97" s="85"/>
      <c r="I97" s="85">
        <f t="shared" si="10"/>
        <v>18</v>
      </c>
      <c r="J97" s="224">
        <f t="shared" si="10"/>
        <v>138.24</v>
      </c>
      <c r="K97" s="569">
        <f t="shared" si="11"/>
        <v>18</v>
      </c>
      <c r="L97" s="113">
        <f t="shared" si="11"/>
        <v>138.24</v>
      </c>
      <c r="M97" s="65"/>
      <c r="N97" s="113"/>
      <c r="O97" s="784"/>
      <c r="P97" s="113"/>
      <c r="Q97" s="784"/>
      <c r="R97" s="321"/>
      <c r="S97" s="711" t="s">
        <v>727</v>
      </c>
      <c r="T97" s="704"/>
      <c r="U97" s="710" t="s">
        <v>844</v>
      </c>
      <c r="V97" s="962"/>
      <c r="W97" s="729"/>
      <c r="X97" s="48"/>
    </row>
    <row r="98" spans="1:24" s="24" customFormat="1" ht="40.5" customHeight="1">
      <c r="A98" s="547" t="s">
        <v>700</v>
      </c>
      <c r="B98" s="69" t="s">
        <v>857</v>
      </c>
      <c r="C98" s="228" t="s">
        <v>536</v>
      </c>
      <c r="D98" s="564">
        <v>24.03</v>
      </c>
      <c r="E98" s="556">
        <v>1</v>
      </c>
      <c r="F98" s="568">
        <f>D98*E98</f>
        <v>24.03</v>
      </c>
      <c r="G98" s="344"/>
      <c r="H98" s="85"/>
      <c r="I98" s="85">
        <f>E98</f>
        <v>1</v>
      </c>
      <c r="J98" s="224">
        <f>F98</f>
        <v>24.03</v>
      </c>
      <c r="K98" s="569">
        <f t="shared" si="11"/>
        <v>1</v>
      </c>
      <c r="L98" s="113">
        <f t="shared" si="11"/>
        <v>24.03</v>
      </c>
      <c r="M98" s="65"/>
      <c r="N98" s="113"/>
      <c r="O98" s="784"/>
      <c r="P98" s="113"/>
      <c r="Q98" s="784"/>
      <c r="R98" s="321"/>
      <c r="S98" s="711" t="s">
        <v>727</v>
      </c>
      <c r="T98" s="704"/>
      <c r="U98" s="710" t="s">
        <v>844</v>
      </c>
      <c r="V98" s="706"/>
      <c r="W98" s="729"/>
      <c r="X98" s="48"/>
    </row>
    <row r="99" spans="1:24" s="24" customFormat="1" ht="18" customHeight="1" thickBot="1">
      <c r="A99" s="223"/>
      <c r="B99" s="83" t="s">
        <v>182</v>
      </c>
      <c r="C99" s="300"/>
      <c r="D99" s="355"/>
      <c r="E99" s="230"/>
      <c r="F99" s="356">
        <f>SUM(F95:F98)</f>
        <v>459.19000000000005</v>
      </c>
      <c r="G99" s="390"/>
      <c r="H99" s="117">
        <f>SUM(H95:H97)</f>
        <v>0</v>
      </c>
      <c r="I99" s="117"/>
      <c r="J99" s="356">
        <f>SUM(J95:J98)</f>
        <v>459.19000000000005</v>
      </c>
      <c r="K99" s="89"/>
      <c r="L99" s="117">
        <f>SUM(L95:L98)</f>
        <v>459.19000000000005</v>
      </c>
      <c r="M99" s="89"/>
      <c r="N99" s="117">
        <f>SUM(N95:N98)</f>
        <v>0</v>
      </c>
      <c r="O99" s="787"/>
      <c r="P99" s="117">
        <f>SUM(P95:P98)</f>
        <v>0</v>
      </c>
      <c r="Q99" s="787"/>
      <c r="R99" s="356">
        <f>SUM(R95:R98)</f>
        <v>0</v>
      </c>
      <c r="S99" s="709"/>
      <c r="T99" s="730"/>
      <c r="U99" s="731"/>
      <c r="V99" s="706"/>
      <c r="W99" s="707"/>
      <c r="X99" s="48"/>
    </row>
    <row r="100" spans="1:24" s="27" customFormat="1" ht="19.5" customHeight="1" thickBot="1">
      <c r="A100" s="934" t="s">
        <v>207</v>
      </c>
      <c r="B100" s="935"/>
      <c r="C100" s="301"/>
      <c r="D100" s="732"/>
      <c r="E100" s="733"/>
      <c r="F100" s="358">
        <f>F99+F93</f>
        <v>6506.6900000000005</v>
      </c>
      <c r="G100" s="392"/>
      <c r="H100" s="273">
        <f>H99+H93</f>
        <v>0</v>
      </c>
      <c r="I100" s="273"/>
      <c r="J100" s="358">
        <f>J99+J93</f>
        <v>6506.6900000000005</v>
      </c>
      <c r="K100" s="570"/>
      <c r="L100" s="273">
        <f>L99+L93</f>
        <v>1808.3566666666666</v>
      </c>
      <c r="M100" s="570"/>
      <c r="N100" s="273">
        <f>N99+N93</f>
        <v>0</v>
      </c>
      <c r="O100" s="788"/>
      <c r="P100" s="273">
        <f>P99+P93</f>
        <v>1849.1666666666665</v>
      </c>
      <c r="Q100" s="819"/>
      <c r="R100" s="358">
        <f>R99+R93</f>
        <v>2849.1666666666665</v>
      </c>
      <c r="S100" s="721"/>
      <c r="T100" s="734"/>
      <c r="U100" s="735"/>
      <c r="V100" s="735"/>
      <c r="W100" s="736"/>
      <c r="X100" s="48"/>
    </row>
    <row r="101" spans="1:24" s="27" customFormat="1" ht="19.5" customHeight="1">
      <c r="A101" s="272" t="s">
        <v>193</v>
      </c>
      <c r="B101" s="263"/>
      <c r="C101" s="302"/>
      <c r="D101" s="359"/>
      <c r="E101" s="264"/>
      <c r="F101" s="360"/>
      <c r="G101" s="359"/>
      <c r="H101" s="264"/>
      <c r="I101" s="264"/>
      <c r="J101" s="360"/>
      <c r="K101" s="600"/>
      <c r="L101" s="601"/>
      <c r="M101" s="601"/>
      <c r="N101" s="601"/>
      <c r="O101" s="789"/>
      <c r="P101" s="616"/>
      <c r="Q101" s="820"/>
      <c r="R101" s="628"/>
      <c r="S101" s="737"/>
      <c r="T101" s="738"/>
      <c r="U101" s="727"/>
      <c r="V101" s="727"/>
      <c r="W101" s="739"/>
      <c r="X101" s="48"/>
    </row>
    <row r="102" spans="1:24" s="25" customFormat="1" ht="45.75" customHeight="1">
      <c r="A102" s="232" t="s">
        <v>45</v>
      </c>
      <c r="B102" s="83" t="s">
        <v>489</v>
      </c>
      <c r="C102" s="284"/>
      <c r="D102" s="361"/>
      <c r="E102" s="70"/>
      <c r="F102" s="317"/>
      <c r="G102" s="327"/>
      <c r="H102" s="70"/>
      <c r="I102" s="70"/>
      <c r="J102" s="317"/>
      <c r="K102" s="381"/>
      <c r="L102" s="114"/>
      <c r="M102" s="114"/>
      <c r="N102" s="114"/>
      <c r="O102" s="773"/>
      <c r="P102" s="114"/>
      <c r="Q102" s="773"/>
      <c r="R102" s="326"/>
      <c r="S102" s="709"/>
      <c r="T102" s="730"/>
      <c r="U102" s="710"/>
      <c r="V102" s="710"/>
      <c r="W102" s="716"/>
      <c r="X102" s="48"/>
    </row>
    <row r="103" spans="1:24" s="26" customFormat="1" ht="18.75" customHeight="1" hidden="1">
      <c r="A103" s="232" t="s">
        <v>46</v>
      </c>
      <c r="B103" s="62" t="s">
        <v>156</v>
      </c>
      <c r="C103" s="228"/>
      <c r="D103" s="362"/>
      <c r="E103" s="70"/>
      <c r="F103" s="317"/>
      <c r="G103" s="327"/>
      <c r="H103" s="70"/>
      <c r="I103" s="70"/>
      <c r="J103" s="317"/>
      <c r="K103" s="571"/>
      <c r="L103" s="113"/>
      <c r="M103" s="602"/>
      <c r="N103" s="113"/>
      <c r="O103" s="790"/>
      <c r="P103" s="113"/>
      <c r="Q103" s="790"/>
      <c r="R103" s="321"/>
      <c r="S103" s="709"/>
      <c r="T103" s="730"/>
      <c r="U103" s="710"/>
      <c r="V103" s="740"/>
      <c r="W103" s="741"/>
      <c r="X103" s="48"/>
    </row>
    <row r="104" spans="1:24" s="26" customFormat="1" ht="15.75" hidden="1">
      <c r="A104" s="243" t="s">
        <v>183</v>
      </c>
      <c r="B104" s="90" t="s">
        <v>348</v>
      </c>
      <c r="C104" s="303" t="s">
        <v>536</v>
      </c>
      <c r="D104" s="363"/>
      <c r="E104" s="91"/>
      <c r="F104" s="338"/>
      <c r="G104" s="337"/>
      <c r="H104" s="77"/>
      <c r="I104" s="77"/>
      <c r="J104" s="338"/>
      <c r="K104" s="571"/>
      <c r="L104" s="114"/>
      <c r="M104" s="603"/>
      <c r="N104" s="113"/>
      <c r="O104" s="771"/>
      <c r="P104" s="113"/>
      <c r="Q104" s="771"/>
      <c r="R104" s="321"/>
      <c r="S104" s="711"/>
      <c r="T104" s="730"/>
      <c r="U104" s="950"/>
      <c r="V104" s="740"/>
      <c r="W104" s="741"/>
      <c r="X104" s="48"/>
    </row>
    <row r="105" spans="1:24" s="27" customFormat="1" ht="15.75" hidden="1">
      <c r="A105" s="243" t="s">
        <v>184</v>
      </c>
      <c r="B105" s="90" t="s">
        <v>349</v>
      </c>
      <c r="C105" s="303" t="s">
        <v>536</v>
      </c>
      <c r="D105" s="549"/>
      <c r="E105" s="92"/>
      <c r="F105" s="317"/>
      <c r="G105" s="337"/>
      <c r="H105" s="77"/>
      <c r="I105" s="70"/>
      <c r="J105" s="317"/>
      <c r="K105" s="381"/>
      <c r="L105" s="113"/>
      <c r="M105" s="604"/>
      <c r="N105" s="113"/>
      <c r="O105" s="771"/>
      <c r="P105" s="113"/>
      <c r="Q105" s="771"/>
      <c r="R105" s="321"/>
      <c r="S105" s="711"/>
      <c r="T105" s="730"/>
      <c r="U105" s="951"/>
      <c r="V105" s="710"/>
      <c r="W105" s="716"/>
      <c r="X105" s="48"/>
    </row>
    <row r="106" spans="1:24" s="27" customFormat="1" ht="15.75" hidden="1">
      <c r="A106" s="243" t="s">
        <v>185</v>
      </c>
      <c r="B106" s="90" t="s">
        <v>73</v>
      </c>
      <c r="C106" s="303" t="s">
        <v>536</v>
      </c>
      <c r="D106" s="549"/>
      <c r="E106" s="91"/>
      <c r="F106" s="338"/>
      <c r="G106" s="337"/>
      <c r="H106" s="77"/>
      <c r="I106" s="77"/>
      <c r="J106" s="338"/>
      <c r="K106" s="381"/>
      <c r="L106" s="113"/>
      <c r="M106" s="604"/>
      <c r="N106" s="113"/>
      <c r="O106" s="771"/>
      <c r="P106" s="113"/>
      <c r="Q106" s="771"/>
      <c r="R106" s="321"/>
      <c r="S106" s="711"/>
      <c r="T106" s="730"/>
      <c r="U106" s="951"/>
      <c r="V106" s="710"/>
      <c r="W106" s="716"/>
      <c r="X106" s="48"/>
    </row>
    <row r="107" spans="1:24" s="27" customFormat="1" ht="15.75" hidden="1">
      <c r="A107" s="243" t="s">
        <v>186</v>
      </c>
      <c r="B107" s="90" t="s">
        <v>366</v>
      </c>
      <c r="C107" s="303" t="s">
        <v>536</v>
      </c>
      <c r="D107" s="549"/>
      <c r="E107" s="91"/>
      <c r="F107" s="338"/>
      <c r="G107" s="337"/>
      <c r="H107" s="77"/>
      <c r="I107" s="77"/>
      <c r="J107" s="338"/>
      <c r="K107" s="381"/>
      <c r="L107" s="113"/>
      <c r="M107" s="604"/>
      <c r="N107" s="113"/>
      <c r="O107" s="771"/>
      <c r="P107" s="113"/>
      <c r="Q107" s="771"/>
      <c r="R107" s="321"/>
      <c r="S107" s="711"/>
      <c r="T107" s="730"/>
      <c r="U107" s="951"/>
      <c r="V107" s="710"/>
      <c r="W107" s="716"/>
      <c r="X107" s="48"/>
    </row>
    <row r="108" spans="1:24" s="27" customFormat="1" ht="15.75" hidden="1">
      <c r="A108" s="243" t="s">
        <v>367</v>
      </c>
      <c r="B108" s="90" t="s">
        <v>350</v>
      </c>
      <c r="C108" s="303" t="s">
        <v>536</v>
      </c>
      <c r="D108" s="549"/>
      <c r="E108" s="91"/>
      <c r="F108" s="338"/>
      <c r="G108" s="337"/>
      <c r="H108" s="77"/>
      <c r="I108" s="77"/>
      <c r="J108" s="338"/>
      <c r="K108" s="381"/>
      <c r="L108" s="113"/>
      <c r="M108" s="604"/>
      <c r="N108" s="113"/>
      <c r="O108" s="771"/>
      <c r="P108" s="113"/>
      <c r="Q108" s="771"/>
      <c r="R108" s="321"/>
      <c r="S108" s="711"/>
      <c r="T108" s="730"/>
      <c r="U108" s="951"/>
      <c r="V108" s="710"/>
      <c r="W108" s="716"/>
      <c r="X108" s="48"/>
    </row>
    <row r="109" spans="1:24" s="27" customFormat="1" ht="15.75" hidden="1">
      <c r="A109" s="243" t="s">
        <v>368</v>
      </c>
      <c r="B109" s="90" t="s">
        <v>351</v>
      </c>
      <c r="C109" s="303" t="s">
        <v>536</v>
      </c>
      <c r="D109" s="549"/>
      <c r="E109" s="91"/>
      <c r="F109" s="338"/>
      <c r="G109" s="337"/>
      <c r="H109" s="77"/>
      <c r="I109" s="77"/>
      <c r="J109" s="338"/>
      <c r="K109" s="381"/>
      <c r="L109" s="113"/>
      <c r="M109" s="604"/>
      <c r="N109" s="113"/>
      <c r="O109" s="771"/>
      <c r="P109" s="113"/>
      <c r="Q109" s="771"/>
      <c r="R109" s="321"/>
      <c r="S109" s="711"/>
      <c r="T109" s="730"/>
      <c r="U109" s="952"/>
      <c r="V109" s="710"/>
      <c r="W109" s="742"/>
      <c r="X109" s="48"/>
    </row>
    <row r="110" spans="1:24" s="27" customFormat="1" ht="18" customHeight="1" hidden="1">
      <c r="A110" s="244"/>
      <c r="B110" s="62" t="s">
        <v>187</v>
      </c>
      <c r="C110" s="304"/>
      <c r="D110" s="365"/>
      <c r="E110" s="97"/>
      <c r="F110" s="341">
        <f>SUM(F104:F109)</f>
        <v>0</v>
      </c>
      <c r="G110" s="340"/>
      <c r="H110" s="81">
        <f>SUM(H104:H109)</f>
        <v>0</v>
      </c>
      <c r="I110" s="81"/>
      <c r="J110" s="341">
        <f>SUM(J104:J109)</f>
        <v>0</v>
      </c>
      <c r="K110" s="572"/>
      <c r="L110" s="81">
        <f>SUM(L104:L109)</f>
        <v>0</v>
      </c>
      <c r="M110" s="605"/>
      <c r="N110" s="606">
        <f>SUM(N104:N109)</f>
        <v>0</v>
      </c>
      <c r="O110" s="791"/>
      <c r="P110" s="606">
        <f>SUM(P104:P109)</f>
        <v>0</v>
      </c>
      <c r="Q110" s="791"/>
      <c r="R110" s="629">
        <f>SUM(R104:R109)</f>
        <v>0</v>
      </c>
      <c r="S110" s="709"/>
      <c r="T110" s="730"/>
      <c r="U110" s="710"/>
      <c r="V110" s="710"/>
      <c r="W110" s="742"/>
      <c r="X110" s="48"/>
    </row>
    <row r="111" spans="1:24" s="27" customFormat="1" ht="19.5" customHeight="1">
      <c r="A111" s="232" t="s">
        <v>772</v>
      </c>
      <c r="B111" s="62" t="s">
        <v>431</v>
      </c>
      <c r="C111" s="228"/>
      <c r="D111" s="362"/>
      <c r="E111" s="93"/>
      <c r="F111" s="317"/>
      <c r="G111" s="327"/>
      <c r="H111" s="70"/>
      <c r="I111" s="70"/>
      <c r="J111" s="317"/>
      <c r="K111" s="381"/>
      <c r="L111" s="113"/>
      <c r="M111" s="604"/>
      <c r="N111" s="113"/>
      <c r="O111" s="769"/>
      <c r="P111" s="70"/>
      <c r="Q111" s="771"/>
      <c r="R111" s="321"/>
      <c r="S111" s="709"/>
      <c r="T111" s="730"/>
      <c r="U111" s="710"/>
      <c r="V111" s="710"/>
      <c r="W111" s="742"/>
      <c r="X111" s="48"/>
    </row>
    <row r="112" spans="1:24" s="27" customFormat="1" ht="21.75" customHeight="1">
      <c r="A112" s="245" t="s">
        <v>773</v>
      </c>
      <c r="B112" s="942" t="s">
        <v>369</v>
      </c>
      <c r="C112" s="943"/>
      <c r="D112" s="366"/>
      <c r="E112" s="118"/>
      <c r="F112" s="324">
        <f>SUM(F113:F115)</f>
        <v>1120.207</v>
      </c>
      <c r="G112" s="323"/>
      <c r="H112" s="68">
        <f>SUM(H113:H115)</f>
        <v>1120.207</v>
      </c>
      <c r="I112" s="68"/>
      <c r="J112" s="324">
        <f>SUM(J113:J115)</f>
        <v>0</v>
      </c>
      <c r="K112" s="573"/>
      <c r="L112" s="68">
        <f>SUM(L113:L115)</f>
        <v>0</v>
      </c>
      <c r="M112" s="118"/>
      <c r="N112" s="68">
        <f>SUM(N113:N115)</f>
        <v>0</v>
      </c>
      <c r="O112" s="792"/>
      <c r="P112" s="68">
        <f>SUM(P113:P115)</f>
        <v>1120.207</v>
      </c>
      <c r="Q112" s="792"/>
      <c r="R112" s="324">
        <f>SUM(R113:R115)</f>
        <v>0</v>
      </c>
      <c r="S112" s="709"/>
      <c r="T112" s="730"/>
      <c r="U112" s="710"/>
      <c r="V112" s="740"/>
      <c r="W112" s="741"/>
      <c r="X112" s="48"/>
    </row>
    <row r="113" spans="1:24" s="25" customFormat="1" ht="49.5" customHeight="1" hidden="1">
      <c r="A113" s="243" t="s">
        <v>717</v>
      </c>
      <c r="B113" s="94" t="s">
        <v>334</v>
      </c>
      <c r="C113" s="303" t="s">
        <v>536</v>
      </c>
      <c r="D113" s="564"/>
      <c r="E113" s="556"/>
      <c r="F113" s="568"/>
      <c r="G113" s="337"/>
      <c r="H113" s="77"/>
      <c r="I113" s="70"/>
      <c r="J113" s="317"/>
      <c r="K113" s="381"/>
      <c r="L113" s="113"/>
      <c r="M113" s="113">
        <f>E113*0.5</f>
        <v>0</v>
      </c>
      <c r="N113" s="113">
        <f>F113*0.5</f>
        <v>0</v>
      </c>
      <c r="O113" s="771">
        <f>E113*0.5</f>
        <v>0</v>
      </c>
      <c r="P113" s="113">
        <f>F113*0.5</f>
        <v>0</v>
      </c>
      <c r="Q113" s="800"/>
      <c r="R113" s="321"/>
      <c r="S113" s="711" t="s">
        <v>726</v>
      </c>
      <c r="T113" s="730"/>
      <c r="U113" s="947" t="s">
        <v>835</v>
      </c>
      <c r="V113" s="710"/>
      <c r="W113" s="742"/>
      <c r="X113" s="48"/>
    </row>
    <row r="114" spans="1:24" s="25" customFormat="1" ht="49.5" customHeight="1" hidden="1">
      <c r="A114" s="243" t="s">
        <v>718</v>
      </c>
      <c r="B114" s="94" t="s">
        <v>602</v>
      </c>
      <c r="C114" s="303" t="s">
        <v>536</v>
      </c>
      <c r="D114" s="564"/>
      <c r="E114" s="556"/>
      <c r="F114" s="568"/>
      <c r="G114" s="337"/>
      <c r="H114" s="77"/>
      <c r="I114" s="70"/>
      <c r="J114" s="317"/>
      <c r="K114" s="381"/>
      <c r="L114" s="113"/>
      <c r="M114" s="113"/>
      <c r="N114" s="113"/>
      <c r="O114" s="771"/>
      <c r="P114" s="113"/>
      <c r="Q114" s="800"/>
      <c r="R114" s="321"/>
      <c r="S114" s="711"/>
      <c r="T114" s="730"/>
      <c r="U114" s="948"/>
      <c r="V114" s="710"/>
      <c r="W114" s="742"/>
      <c r="X114" s="48"/>
    </row>
    <row r="115" spans="1:24" s="25" customFormat="1" ht="49.5" customHeight="1">
      <c r="A115" s="243" t="s">
        <v>774</v>
      </c>
      <c r="B115" s="94" t="s">
        <v>680</v>
      </c>
      <c r="C115" s="303" t="s">
        <v>536</v>
      </c>
      <c r="D115" s="564">
        <v>1120.207</v>
      </c>
      <c r="E115" s="556">
        <v>1</v>
      </c>
      <c r="F115" s="568">
        <f>E115*D115</f>
        <v>1120.207</v>
      </c>
      <c r="G115" s="564">
        <f>E115</f>
        <v>1</v>
      </c>
      <c r="H115" s="556">
        <f>F115</f>
        <v>1120.207</v>
      </c>
      <c r="I115" s="77"/>
      <c r="J115" s="338"/>
      <c r="K115" s="381"/>
      <c r="L115" s="113"/>
      <c r="M115" s="113"/>
      <c r="N115" s="766"/>
      <c r="O115" s="793">
        <v>1</v>
      </c>
      <c r="P115" s="766">
        <f>F115</f>
        <v>1120.207</v>
      </c>
      <c r="Q115" s="800"/>
      <c r="R115" s="321"/>
      <c r="S115" s="711" t="s">
        <v>726</v>
      </c>
      <c r="T115" s="730"/>
      <c r="U115" s="949"/>
      <c r="V115" s="710"/>
      <c r="W115" s="742"/>
      <c r="X115" s="48"/>
    </row>
    <row r="116" spans="1:24" s="25" customFormat="1" ht="19.5" customHeight="1">
      <c r="A116" s="245" t="s">
        <v>775</v>
      </c>
      <c r="B116" s="67" t="s">
        <v>333</v>
      </c>
      <c r="C116" s="299"/>
      <c r="D116" s="366"/>
      <c r="E116" s="119"/>
      <c r="F116" s="324">
        <f>SUM(F117:F136)</f>
        <v>161.054</v>
      </c>
      <c r="G116" s="323"/>
      <c r="H116" s="68">
        <f>SUM(H117:H136)</f>
        <v>161.054</v>
      </c>
      <c r="I116" s="68"/>
      <c r="J116" s="324">
        <f>SUM(J117:J136)</f>
        <v>0</v>
      </c>
      <c r="K116" s="574"/>
      <c r="L116" s="68">
        <f>SUM(L117:L136)</f>
        <v>0</v>
      </c>
      <c r="M116" s="119"/>
      <c r="N116" s="68">
        <f>SUM(N117:N136)</f>
        <v>0</v>
      </c>
      <c r="O116" s="794"/>
      <c r="P116" s="68">
        <f>SUM(P117:P136)</f>
        <v>161.054</v>
      </c>
      <c r="Q116" s="794"/>
      <c r="R116" s="324">
        <f>SUM(R117:R136)</f>
        <v>0</v>
      </c>
      <c r="S116" s="709"/>
      <c r="T116" s="730"/>
      <c r="U116" s="710"/>
      <c r="V116" s="710"/>
      <c r="W116" s="742"/>
      <c r="X116" s="48"/>
    </row>
    <row r="117" spans="1:24" s="25" customFormat="1" ht="51" customHeight="1">
      <c r="A117" s="243" t="s">
        <v>776</v>
      </c>
      <c r="B117" s="90" t="s">
        <v>611</v>
      </c>
      <c r="C117" s="303" t="s">
        <v>536</v>
      </c>
      <c r="D117" s="564">
        <v>50.5</v>
      </c>
      <c r="E117" s="556">
        <v>2</v>
      </c>
      <c r="F117" s="568">
        <f>D117*E117</f>
        <v>101</v>
      </c>
      <c r="G117" s="564">
        <f>E117</f>
        <v>2</v>
      </c>
      <c r="H117" s="556">
        <f>F117</f>
        <v>101</v>
      </c>
      <c r="I117" s="77"/>
      <c r="J117" s="338"/>
      <c r="K117" s="381"/>
      <c r="L117" s="113"/>
      <c r="M117" s="604"/>
      <c r="N117" s="766"/>
      <c r="O117" s="793">
        <v>2</v>
      </c>
      <c r="P117" s="766">
        <f>F117</f>
        <v>101</v>
      </c>
      <c r="Q117" s="821"/>
      <c r="R117" s="643"/>
      <c r="S117" s="711" t="s">
        <v>726</v>
      </c>
      <c r="T117" s="730"/>
      <c r="U117" s="947" t="s">
        <v>845</v>
      </c>
      <c r="V117" s="947" t="s">
        <v>820</v>
      </c>
      <c r="W117" s="742"/>
      <c r="X117" s="48"/>
    </row>
    <row r="118" spans="1:24" s="25" customFormat="1" ht="51" customHeight="1">
      <c r="A118" s="243" t="s">
        <v>777</v>
      </c>
      <c r="B118" s="90" t="s">
        <v>728</v>
      </c>
      <c r="C118" s="303" t="s">
        <v>536</v>
      </c>
      <c r="D118" s="564">
        <v>20.5</v>
      </c>
      <c r="E118" s="556">
        <v>2</v>
      </c>
      <c r="F118" s="568">
        <f>E118*D118</f>
        <v>41</v>
      </c>
      <c r="G118" s="564">
        <f>E118</f>
        <v>2</v>
      </c>
      <c r="H118" s="556">
        <f>F118</f>
        <v>41</v>
      </c>
      <c r="I118" s="77"/>
      <c r="J118" s="338"/>
      <c r="K118" s="381"/>
      <c r="L118" s="113"/>
      <c r="M118" s="604"/>
      <c r="N118" s="766"/>
      <c r="O118" s="793">
        <v>2</v>
      </c>
      <c r="P118" s="766">
        <f aca="true" t="shared" si="12" ref="P118:P127">F118</f>
        <v>41</v>
      </c>
      <c r="Q118" s="821"/>
      <c r="R118" s="643"/>
      <c r="S118" s="711" t="s">
        <v>726</v>
      </c>
      <c r="T118" s="730"/>
      <c r="U118" s="948"/>
      <c r="V118" s="948"/>
      <c r="W118" s="742"/>
      <c r="X118" s="48"/>
    </row>
    <row r="119" spans="1:24" s="25" customFormat="1" ht="51" customHeight="1" hidden="1">
      <c r="A119" s="243" t="s">
        <v>778</v>
      </c>
      <c r="B119" s="90" t="s">
        <v>612</v>
      </c>
      <c r="C119" s="303" t="s">
        <v>536</v>
      </c>
      <c r="D119" s="564"/>
      <c r="E119" s="556"/>
      <c r="F119" s="568"/>
      <c r="G119" s="564"/>
      <c r="H119" s="556"/>
      <c r="I119" s="77"/>
      <c r="J119" s="338"/>
      <c r="K119" s="381"/>
      <c r="L119" s="113"/>
      <c r="M119" s="604"/>
      <c r="N119" s="766"/>
      <c r="O119" s="793" t="e">
        <f aca="true" t="shared" si="13" ref="O119:O125">C119*0.5</f>
        <v>#VALUE!</v>
      </c>
      <c r="P119" s="766">
        <f t="shared" si="12"/>
        <v>0</v>
      </c>
      <c r="Q119" s="821"/>
      <c r="R119" s="643"/>
      <c r="S119" s="711"/>
      <c r="T119" s="730"/>
      <c r="U119" s="948"/>
      <c r="V119" s="948"/>
      <c r="W119" s="742"/>
      <c r="X119" s="48"/>
    </row>
    <row r="120" spans="1:24" s="25" customFormat="1" ht="51" customHeight="1" hidden="1">
      <c r="A120" s="243" t="s">
        <v>779</v>
      </c>
      <c r="B120" s="90" t="s">
        <v>681</v>
      </c>
      <c r="C120" s="303" t="s">
        <v>536</v>
      </c>
      <c r="D120" s="564"/>
      <c r="E120" s="556"/>
      <c r="F120" s="568"/>
      <c r="G120" s="564"/>
      <c r="H120" s="556"/>
      <c r="I120" s="77"/>
      <c r="J120" s="338"/>
      <c r="K120" s="381"/>
      <c r="L120" s="113"/>
      <c r="M120" s="604"/>
      <c r="N120" s="766"/>
      <c r="O120" s="793" t="e">
        <f t="shared" si="13"/>
        <v>#VALUE!</v>
      </c>
      <c r="P120" s="766">
        <f t="shared" si="12"/>
        <v>0</v>
      </c>
      <c r="Q120" s="821"/>
      <c r="R120" s="643"/>
      <c r="S120" s="711"/>
      <c r="T120" s="730"/>
      <c r="U120" s="948"/>
      <c r="V120" s="948"/>
      <c r="W120" s="742"/>
      <c r="X120" s="48"/>
    </row>
    <row r="121" spans="1:24" s="25" customFormat="1" ht="51" customHeight="1" hidden="1">
      <c r="A121" s="243" t="s">
        <v>780</v>
      </c>
      <c r="B121" s="90" t="s">
        <v>613</v>
      </c>
      <c r="C121" s="303" t="s">
        <v>536</v>
      </c>
      <c r="D121" s="564"/>
      <c r="E121" s="556"/>
      <c r="F121" s="568"/>
      <c r="G121" s="564"/>
      <c r="H121" s="556"/>
      <c r="I121" s="77"/>
      <c r="J121" s="338"/>
      <c r="K121" s="381"/>
      <c r="L121" s="113"/>
      <c r="M121" s="604"/>
      <c r="N121" s="766"/>
      <c r="O121" s="793" t="e">
        <f t="shared" si="13"/>
        <v>#VALUE!</v>
      </c>
      <c r="P121" s="766">
        <f t="shared" si="12"/>
        <v>0</v>
      </c>
      <c r="Q121" s="821"/>
      <c r="R121" s="643"/>
      <c r="S121" s="711"/>
      <c r="T121" s="730"/>
      <c r="U121" s="948"/>
      <c r="V121" s="948"/>
      <c r="W121" s="742"/>
      <c r="X121" s="48"/>
    </row>
    <row r="122" spans="1:24" s="25" customFormat="1" ht="51" customHeight="1" hidden="1">
      <c r="A122" s="243" t="s">
        <v>781</v>
      </c>
      <c r="B122" s="90" t="s">
        <v>352</v>
      </c>
      <c r="C122" s="303" t="s">
        <v>536</v>
      </c>
      <c r="D122" s="564"/>
      <c r="E122" s="556"/>
      <c r="F122" s="568"/>
      <c r="G122" s="564"/>
      <c r="H122" s="556"/>
      <c r="I122" s="77"/>
      <c r="J122" s="338"/>
      <c r="K122" s="381"/>
      <c r="L122" s="113"/>
      <c r="M122" s="604"/>
      <c r="N122" s="766"/>
      <c r="O122" s="793" t="e">
        <f t="shared" si="13"/>
        <v>#VALUE!</v>
      </c>
      <c r="P122" s="766">
        <f t="shared" si="12"/>
        <v>0</v>
      </c>
      <c r="Q122" s="821"/>
      <c r="R122" s="643"/>
      <c r="S122" s="711"/>
      <c r="T122" s="730"/>
      <c r="U122" s="948"/>
      <c r="V122" s="948"/>
      <c r="W122" s="742"/>
      <c r="X122" s="48"/>
    </row>
    <row r="123" spans="1:24" s="25" customFormat="1" ht="51" customHeight="1" hidden="1">
      <c r="A123" s="243" t="s">
        <v>782</v>
      </c>
      <c r="B123" s="90" t="s">
        <v>353</v>
      </c>
      <c r="C123" s="303" t="s">
        <v>536</v>
      </c>
      <c r="D123" s="564"/>
      <c r="E123" s="556"/>
      <c r="F123" s="568"/>
      <c r="G123" s="564"/>
      <c r="H123" s="556"/>
      <c r="I123" s="77"/>
      <c r="J123" s="338"/>
      <c r="K123" s="381"/>
      <c r="L123" s="113"/>
      <c r="M123" s="114"/>
      <c r="N123" s="766"/>
      <c r="O123" s="793" t="e">
        <f t="shared" si="13"/>
        <v>#VALUE!</v>
      </c>
      <c r="P123" s="766">
        <f t="shared" si="12"/>
        <v>0</v>
      </c>
      <c r="Q123" s="821"/>
      <c r="R123" s="643"/>
      <c r="S123" s="711"/>
      <c r="T123" s="730"/>
      <c r="U123" s="948"/>
      <c r="V123" s="948"/>
      <c r="W123" s="716"/>
      <c r="X123" s="48"/>
    </row>
    <row r="124" spans="1:24" s="25" customFormat="1" ht="51" customHeight="1" hidden="1">
      <c r="A124" s="243" t="s">
        <v>783</v>
      </c>
      <c r="B124" s="90" t="s">
        <v>354</v>
      </c>
      <c r="C124" s="303" t="s">
        <v>536</v>
      </c>
      <c r="D124" s="564"/>
      <c r="E124" s="556"/>
      <c r="F124" s="568"/>
      <c r="G124" s="564"/>
      <c r="H124" s="556"/>
      <c r="I124" s="77"/>
      <c r="J124" s="338"/>
      <c r="K124" s="381"/>
      <c r="L124" s="113"/>
      <c r="M124" s="114"/>
      <c r="N124" s="766"/>
      <c r="O124" s="793" t="e">
        <f t="shared" si="13"/>
        <v>#VALUE!</v>
      </c>
      <c r="P124" s="766">
        <f t="shared" si="12"/>
        <v>0</v>
      </c>
      <c r="Q124" s="821"/>
      <c r="R124" s="643"/>
      <c r="S124" s="711"/>
      <c r="T124" s="730"/>
      <c r="U124" s="948"/>
      <c r="V124" s="948"/>
      <c r="W124" s="716"/>
      <c r="X124" s="48"/>
    </row>
    <row r="125" spans="1:24" s="25" customFormat="1" ht="51" customHeight="1" hidden="1">
      <c r="A125" s="243" t="s">
        <v>784</v>
      </c>
      <c r="B125" s="90" t="s">
        <v>355</v>
      </c>
      <c r="C125" s="303" t="s">
        <v>536</v>
      </c>
      <c r="D125" s="564"/>
      <c r="E125" s="556"/>
      <c r="F125" s="568"/>
      <c r="G125" s="564"/>
      <c r="H125" s="556"/>
      <c r="I125" s="77"/>
      <c r="J125" s="338"/>
      <c r="K125" s="381"/>
      <c r="L125" s="113"/>
      <c r="M125" s="114"/>
      <c r="N125" s="766"/>
      <c r="O125" s="793" t="e">
        <f t="shared" si="13"/>
        <v>#VALUE!</v>
      </c>
      <c r="P125" s="766">
        <f t="shared" si="12"/>
        <v>0</v>
      </c>
      <c r="Q125" s="821"/>
      <c r="R125" s="643"/>
      <c r="S125" s="711"/>
      <c r="T125" s="730"/>
      <c r="U125" s="948"/>
      <c r="V125" s="948"/>
      <c r="W125" s="716"/>
      <c r="X125" s="48"/>
    </row>
    <row r="126" spans="1:24" s="25" customFormat="1" ht="51" customHeight="1">
      <c r="A126" s="243" t="s">
        <v>778</v>
      </c>
      <c r="B126" s="558" t="s">
        <v>356</v>
      </c>
      <c r="C126" s="303" t="s">
        <v>536</v>
      </c>
      <c r="D126" s="564">
        <v>6.74</v>
      </c>
      <c r="E126" s="556">
        <v>2</v>
      </c>
      <c r="F126" s="568">
        <f>E126*D126</f>
        <v>13.48</v>
      </c>
      <c r="G126" s="564">
        <f>E126</f>
        <v>2</v>
      </c>
      <c r="H126" s="556">
        <f>F126</f>
        <v>13.48</v>
      </c>
      <c r="I126" s="77"/>
      <c r="J126" s="338"/>
      <c r="K126" s="381"/>
      <c r="L126" s="113"/>
      <c r="M126" s="114"/>
      <c r="N126" s="766"/>
      <c r="O126" s="793">
        <v>2</v>
      </c>
      <c r="P126" s="766">
        <f t="shared" si="12"/>
        <v>13.48</v>
      </c>
      <c r="Q126" s="821"/>
      <c r="R126" s="643"/>
      <c r="S126" s="711" t="s">
        <v>726</v>
      </c>
      <c r="T126" s="730"/>
      <c r="U126" s="948"/>
      <c r="V126" s="948"/>
      <c r="W126" s="716"/>
      <c r="X126" s="48"/>
    </row>
    <row r="127" spans="1:24" s="25" customFormat="1" ht="51" customHeight="1">
      <c r="A127" s="243" t="s">
        <v>779</v>
      </c>
      <c r="B127" s="558" t="s">
        <v>357</v>
      </c>
      <c r="C127" s="303" t="s">
        <v>536</v>
      </c>
      <c r="D127" s="564">
        <v>5.574</v>
      </c>
      <c r="E127" s="556">
        <v>1</v>
      </c>
      <c r="F127" s="568">
        <f>E127*D127</f>
        <v>5.574</v>
      </c>
      <c r="G127" s="564">
        <f>E127</f>
        <v>1</v>
      </c>
      <c r="H127" s="556">
        <f>F127</f>
        <v>5.574</v>
      </c>
      <c r="I127" s="77"/>
      <c r="J127" s="338"/>
      <c r="K127" s="381"/>
      <c r="L127" s="113"/>
      <c r="M127" s="114"/>
      <c r="N127" s="766"/>
      <c r="O127" s="793">
        <v>1</v>
      </c>
      <c r="P127" s="766">
        <f t="shared" si="12"/>
        <v>5.574</v>
      </c>
      <c r="Q127" s="821"/>
      <c r="R127" s="643"/>
      <c r="S127" s="711" t="s">
        <v>726</v>
      </c>
      <c r="T127" s="730"/>
      <c r="U127" s="948"/>
      <c r="V127" s="949"/>
      <c r="W127" s="716"/>
      <c r="X127" s="48"/>
    </row>
    <row r="128" spans="1:24" s="25" customFormat="1" ht="33" customHeight="1" hidden="1">
      <c r="A128" s="243" t="s">
        <v>603</v>
      </c>
      <c r="B128" s="90" t="s">
        <v>358</v>
      </c>
      <c r="C128" s="303" t="s">
        <v>536</v>
      </c>
      <c r="D128" s="549"/>
      <c r="E128" s="91"/>
      <c r="F128" s="338"/>
      <c r="G128" s="337"/>
      <c r="H128" s="77"/>
      <c r="I128" s="77"/>
      <c r="J128" s="338"/>
      <c r="K128" s="381"/>
      <c r="L128" s="113"/>
      <c r="M128" s="114"/>
      <c r="N128" s="113"/>
      <c r="O128" s="771"/>
      <c r="P128" s="113"/>
      <c r="Q128" s="771"/>
      <c r="R128" s="321"/>
      <c r="S128" s="711"/>
      <c r="T128" s="730"/>
      <c r="U128" s="948"/>
      <c r="V128" s="710"/>
      <c r="W128" s="716"/>
      <c r="X128" s="48"/>
    </row>
    <row r="129" spans="1:24" s="25" customFormat="1" ht="33" customHeight="1" hidden="1">
      <c r="A129" s="243" t="s">
        <v>604</v>
      </c>
      <c r="B129" s="90" t="s">
        <v>614</v>
      </c>
      <c r="C129" s="303" t="s">
        <v>536</v>
      </c>
      <c r="D129" s="549"/>
      <c r="E129" s="91"/>
      <c r="F129" s="338"/>
      <c r="G129" s="337"/>
      <c r="H129" s="77"/>
      <c r="I129" s="77"/>
      <c r="J129" s="338"/>
      <c r="K129" s="381"/>
      <c r="L129" s="113"/>
      <c r="M129" s="114"/>
      <c r="N129" s="113"/>
      <c r="O129" s="771"/>
      <c r="P129" s="113"/>
      <c r="Q129" s="771"/>
      <c r="R129" s="321"/>
      <c r="S129" s="711"/>
      <c r="T129" s="730"/>
      <c r="U129" s="948"/>
      <c r="V129" s="710"/>
      <c r="W129" s="716"/>
      <c r="X129" s="48"/>
    </row>
    <row r="130" spans="1:24" s="25" customFormat="1" ht="33" customHeight="1" hidden="1">
      <c r="A130" s="243" t="s">
        <v>605</v>
      </c>
      <c r="B130" s="90" t="s">
        <v>615</v>
      </c>
      <c r="C130" s="303" t="s">
        <v>536</v>
      </c>
      <c r="D130" s="549"/>
      <c r="E130" s="91"/>
      <c r="F130" s="338"/>
      <c r="G130" s="337"/>
      <c r="H130" s="77"/>
      <c r="I130" s="77"/>
      <c r="J130" s="338"/>
      <c r="K130" s="381"/>
      <c r="L130" s="113"/>
      <c r="M130" s="114"/>
      <c r="N130" s="113"/>
      <c r="O130" s="771"/>
      <c r="P130" s="113"/>
      <c r="Q130" s="771"/>
      <c r="R130" s="321"/>
      <c r="S130" s="711"/>
      <c r="T130" s="730"/>
      <c r="U130" s="948"/>
      <c r="V130" s="710"/>
      <c r="W130" s="716"/>
      <c r="X130" s="48"/>
    </row>
    <row r="131" spans="1:24" s="25" customFormat="1" ht="33" customHeight="1" hidden="1">
      <c r="A131" s="243" t="s">
        <v>606</v>
      </c>
      <c r="B131" s="90" t="s">
        <v>616</v>
      </c>
      <c r="C131" s="303" t="s">
        <v>536</v>
      </c>
      <c r="D131" s="549"/>
      <c r="E131" s="91"/>
      <c r="F131" s="338"/>
      <c r="G131" s="337"/>
      <c r="H131" s="77"/>
      <c r="I131" s="77"/>
      <c r="J131" s="338"/>
      <c r="K131" s="381"/>
      <c r="L131" s="113"/>
      <c r="M131" s="114"/>
      <c r="N131" s="113"/>
      <c r="O131" s="771"/>
      <c r="P131" s="113"/>
      <c r="Q131" s="771"/>
      <c r="R131" s="321"/>
      <c r="S131" s="711"/>
      <c r="T131" s="730"/>
      <c r="U131" s="948"/>
      <c r="V131" s="710"/>
      <c r="W131" s="716"/>
      <c r="X131" s="48"/>
    </row>
    <row r="132" spans="1:24" s="25" customFormat="1" ht="33" customHeight="1" hidden="1">
      <c r="A132" s="243" t="s">
        <v>607</v>
      </c>
      <c r="B132" s="90" t="s">
        <v>617</v>
      </c>
      <c r="C132" s="303" t="s">
        <v>536</v>
      </c>
      <c r="D132" s="549"/>
      <c r="E132" s="91"/>
      <c r="F132" s="338"/>
      <c r="G132" s="337"/>
      <c r="H132" s="77"/>
      <c r="I132" s="77"/>
      <c r="J132" s="338"/>
      <c r="K132" s="381"/>
      <c r="L132" s="113"/>
      <c r="M132" s="114"/>
      <c r="N132" s="113"/>
      <c r="O132" s="771"/>
      <c r="P132" s="113"/>
      <c r="Q132" s="771"/>
      <c r="R132" s="321"/>
      <c r="S132" s="711"/>
      <c r="T132" s="730"/>
      <c r="U132" s="948"/>
      <c r="V132" s="710"/>
      <c r="W132" s="716"/>
      <c r="X132" s="48"/>
    </row>
    <row r="133" spans="1:24" s="25" customFormat="1" ht="33" customHeight="1" hidden="1">
      <c r="A133" s="243" t="s">
        <v>608</v>
      </c>
      <c r="B133" s="90" t="s">
        <v>618</v>
      </c>
      <c r="C133" s="303" t="s">
        <v>536</v>
      </c>
      <c r="D133" s="549"/>
      <c r="E133" s="91"/>
      <c r="F133" s="338"/>
      <c r="G133" s="337"/>
      <c r="H133" s="77"/>
      <c r="I133" s="77"/>
      <c r="J133" s="338"/>
      <c r="K133" s="381"/>
      <c r="L133" s="113"/>
      <c r="M133" s="114"/>
      <c r="N133" s="113"/>
      <c r="O133" s="771"/>
      <c r="P133" s="113"/>
      <c r="Q133" s="771"/>
      <c r="R133" s="321"/>
      <c r="S133" s="711"/>
      <c r="T133" s="730"/>
      <c r="U133" s="948"/>
      <c r="V133" s="710"/>
      <c r="W133" s="716"/>
      <c r="X133" s="48"/>
    </row>
    <row r="134" spans="1:24" s="25" customFormat="1" ht="33" customHeight="1" hidden="1">
      <c r="A134" s="243" t="s">
        <v>609</v>
      </c>
      <c r="B134" s="90" t="s">
        <v>619</v>
      </c>
      <c r="C134" s="303" t="s">
        <v>536</v>
      </c>
      <c r="D134" s="364"/>
      <c r="E134" s="91"/>
      <c r="F134" s="338"/>
      <c r="G134" s="337"/>
      <c r="H134" s="77"/>
      <c r="I134" s="77"/>
      <c r="J134" s="338"/>
      <c r="K134" s="381"/>
      <c r="L134" s="113"/>
      <c r="M134" s="114"/>
      <c r="N134" s="113"/>
      <c r="O134" s="771"/>
      <c r="P134" s="113"/>
      <c r="Q134" s="771"/>
      <c r="R134" s="321"/>
      <c r="S134" s="711"/>
      <c r="T134" s="730"/>
      <c r="U134" s="948"/>
      <c r="V134" s="710"/>
      <c r="W134" s="716"/>
      <c r="X134" s="48"/>
    </row>
    <row r="135" spans="1:24" s="25" customFormat="1" ht="33" customHeight="1" hidden="1">
      <c r="A135" s="243" t="s">
        <v>610</v>
      </c>
      <c r="B135" s="90" t="s">
        <v>620</v>
      </c>
      <c r="C135" s="303" t="s">
        <v>536</v>
      </c>
      <c r="D135" s="364"/>
      <c r="E135" s="91"/>
      <c r="F135" s="338"/>
      <c r="G135" s="337"/>
      <c r="H135" s="77"/>
      <c r="I135" s="77"/>
      <c r="J135" s="338"/>
      <c r="K135" s="381"/>
      <c r="L135" s="113"/>
      <c r="M135" s="114"/>
      <c r="N135" s="113"/>
      <c r="O135" s="771"/>
      <c r="P135" s="113"/>
      <c r="Q135" s="771"/>
      <c r="R135" s="321"/>
      <c r="S135" s="711"/>
      <c r="T135" s="730"/>
      <c r="U135" s="948"/>
      <c r="V135" s="710"/>
      <c r="W135" s="716"/>
      <c r="X135" s="48"/>
    </row>
    <row r="136" spans="1:24" s="25" customFormat="1" ht="33.75" customHeight="1" hidden="1">
      <c r="A136" s="243" t="s">
        <v>682</v>
      </c>
      <c r="B136" s="90" t="s">
        <v>621</v>
      </c>
      <c r="C136" s="303" t="s">
        <v>477</v>
      </c>
      <c r="D136" s="364"/>
      <c r="E136" s="91"/>
      <c r="F136" s="338"/>
      <c r="G136" s="337"/>
      <c r="H136" s="77"/>
      <c r="I136" s="77"/>
      <c r="J136" s="338"/>
      <c r="K136" s="381"/>
      <c r="L136" s="113"/>
      <c r="M136" s="114"/>
      <c r="N136" s="113"/>
      <c r="O136" s="771"/>
      <c r="P136" s="113"/>
      <c r="Q136" s="771"/>
      <c r="R136" s="321"/>
      <c r="S136" s="711"/>
      <c r="T136" s="730"/>
      <c r="U136" s="949"/>
      <c r="V136" s="710"/>
      <c r="W136" s="716"/>
      <c r="X136" s="48"/>
    </row>
    <row r="137" spans="1:24" s="27" customFormat="1" ht="18.75" customHeight="1">
      <c r="A137" s="244"/>
      <c r="B137" s="62" t="s">
        <v>793</v>
      </c>
      <c r="C137" s="297"/>
      <c r="D137" s="367"/>
      <c r="E137" s="120"/>
      <c r="F137" s="341">
        <f>F112+F116</f>
        <v>1281.2610000000002</v>
      </c>
      <c r="G137" s="340"/>
      <c r="H137" s="81">
        <f>H112+H116</f>
        <v>1281.2610000000002</v>
      </c>
      <c r="I137" s="81"/>
      <c r="J137" s="341">
        <f>J112+J116</f>
        <v>0</v>
      </c>
      <c r="K137" s="575"/>
      <c r="L137" s="81">
        <f>L112+L116</f>
        <v>0</v>
      </c>
      <c r="M137" s="120"/>
      <c r="N137" s="81">
        <f>N112+N116</f>
        <v>0</v>
      </c>
      <c r="O137" s="795"/>
      <c r="P137" s="81">
        <f>P112+P116</f>
        <v>1281.2610000000002</v>
      </c>
      <c r="Q137" s="795"/>
      <c r="R137" s="341">
        <f>R112+R116</f>
        <v>0</v>
      </c>
      <c r="S137" s="709"/>
      <c r="T137" s="730"/>
      <c r="U137" s="710"/>
      <c r="V137" s="710"/>
      <c r="W137" s="742"/>
      <c r="X137" s="48"/>
    </row>
    <row r="138" spans="1:24" s="27" customFormat="1" ht="15.75" customHeight="1" thickBot="1">
      <c r="A138" s="244"/>
      <c r="B138" s="83" t="s">
        <v>188</v>
      </c>
      <c r="C138" s="305"/>
      <c r="D138" s="368"/>
      <c r="E138" s="95"/>
      <c r="F138" s="343">
        <f>F137+F110</f>
        <v>1281.2610000000002</v>
      </c>
      <c r="G138" s="342"/>
      <c r="H138" s="84">
        <f>H137+H110</f>
        <v>1281.2610000000002</v>
      </c>
      <c r="I138" s="84"/>
      <c r="J138" s="343">
        <f>J137+J110</f>
        <v>0</v>
      </c>
      <c r="K138" s="576"/>
      <c r="L138" s="84">
        <f>L137+L110</f>
        <v>0</v>
      </c>
      <c r="M138" s="95"/>
      <c r="N138" s="84">
        <f>N137+N110</f>
        <v>0</v>
      </c>
      <c r="O138" s="796"/>
      <c r="P138" s="84">
        <f>P137+P110</f>
        <v>1281.2610000000002</v>
      </c>
      <c r="Q138" s="796"/>
      <c r="R138" s="343">
        <f>R137+R110</f>
        <v>0</v>
      </c>
      <c r="S138" s="709"/>
      <c r="T138" s="730"/>
      <c r="U138" s="710"/>
      <c r="V138" s="710"/>
      <c r="W138" s="742"/>
      <c r="X138" s="48"/>
    </row>
    <row r="139" spans="1:24" s="25" customFormat="1" ht="15.75" customHeight="1" hidden="1">
      <c r="A139" s="232" t="s">
        <v>47</v>
      </c>
      <c r="B139" s="83" t="s">
        <v>462</v>
      </c>
      <c r="C139" s="298"/>
      <c r="D139" s="362"/>
      <c r="E139" s="70"/>
      <c r="F139" s="317"/>
      <c r="G139" s="327"/>
      <c r="H139" s="70"/>
      <c r="I139" s="70"/>
      <c r="J139" s="317"/>
      <c r="K139" s="381"/>
      <c r="L139" s="114"/>
      <c r="M139" s="114"/>
      <c r="N139" s="114"/>
      <c r="O139" s="773"/>
      <c r="P139" s="114"/>
      <c r="Q139" s="773"/>
      <c r="R139" s="326"/>
      <c r="S139" s="709"/>
      <c r="T139" s="730"/>
      <c r="U139" s="710"/>
      <c r="V139" s="710"/>
      <c r="W139" s="716"/>
      <c r="X139" s="48"/>
    </row>
    <row r="140" spans="1:24" s="24" customFormat="1" ht="33.75" customHeight="1" hidden="1">
      <c r="A140" s="243" t="s">
        <v>478</v>
      </c>
      <c r="B140" s="90" t="s">
        <v>527</v>
      </c>
      <c r="C140" s="303" t="s">
        <v>477</v>
      </c>
      <c r="D140" s="550"/>
      <c r="E140" s="91"/>
      <c r="F140" s="338"/>
      <c r="G140" s="337"/>
      <c r="H140" s="77"/>
      <c r="I140" s="77"/>
      <c r="J140" s="338"/>
      <c r="K140" s="381"/>
      <c r="L140" s="113"/>
      <c r="M140" s="113"/>
      <c r="N140" s="113"/>
      <c r="O140" s="771"/>
      <c r="P140" s="113"/>
      <c r="Q140" s="771"/>
      <c r="R140" s="321"/>
      <c r="S140" s="711"/>
      <c r="T140" s="730"/>
      <c r="U140" s="947"/>
      <c r="V140" s="706"/>
      <c r="W140" s="707"/>
      <c r="X140" s="48"/>
    </row>
    <row r="141" spans="1:24" s="24" customFormat="1" ht="33.75" customHeight="1" hidden="1">
      <c r="A141" s="243" t="s">
        <v>436</v>
      </c>
      <c r="B141" s="90" t="s">
        <v>528</v>
      </c>
      <c r="C141" s="303" t="s">
        <v>477</v>
      </c>
      <c r="D141" s="549"/>
      <c r="E141" s="91"/>
      <c r="F141" s="338"/>
      <c r="G141" s="337"/>
      <c r="H141" s="77"/>
      <c r="I141" s="77"/>
      <c r="J141" s="338"/>
      <c r="K141" s="577"/>
      <c r="L141" s="113"/>
      <c r="M141" s="607"/>
      <c r="N141" s="113"/>
      <c r="O141" s="771"/>
      <c r="P141" s="113"/>
      <c r="Q141" s="771"/>
      <c r="R141" s="321"/>
      <c r="S141" s="711"/>
      <c r="T141" s="743"/>
      <c r="U141" s="948"/>
      <c r="V141" s="743"/>
      <c r="W141" s="744"/>
      <c r="X141" s="48"/>
    </row>
    <row r="142" spans="1:24" s="26" customFormat="1" ht="33.75" customHeight="1" hidden="1">
      <c r="A142" s="243" t="s">
        <v>189</v>
      </c>
      <c r="B142" s="90" t="s">
        <v>529</v>
      </c>
      <c r="C142" s="303" t="s">
        <v>477</v>
      </c>
      <c r="D142" s="549"/>
      <c r="E142" s="91"/>
      <c r="F142" s="338"/>
      <c r="G142" s="337"/>
      <c r="H142" s="77"/>
      <c r="I142" s="77"/>
      <c r="J142" s="338"/>
      <c r="K142" s="578"/>
      <c r="L142" s="113"/>
      <c r="M142" s="607"/>
      <c r="N142" s="113"/>
      <c r="O142" s="771"/>
      <c r="P142" s="113"/>
      <c r="Q142" s="771"/>
      <c r="R142" s="321"/>
      <c r="S142" s="711"/>
      <c r="T142" s="745"/>
      <c r="U142" s="948"/>
      <c r="V142" s="710"/>
      <c r="W142" s="716"/>
      <c r="X142" s="48"/>
    </row>
    <row r="143" spans="1:24" s="28" customFormat="1" ht="35.25" customHeight="1" hidden="1">
      <c r="A143" s="243" t="s">
        <v>190</v>
      </c>
      <c r="B143" s="90" t="s">
        <v>359</v>
      </c>
      <c r="C143" s="303" t="s">
        <v>477</v>
      </c>
      <c r="D143" s="364"/>
      <c r="E143" s="91"/>
      <c r="F143" s="338"/>
      <c r="G143" s="337"/>
      <c r="H143" s="77"/>
      <c r="I143" s="77"/>
      <c r="J143" s="338"/>
      <c r="K143" s="578"/>
      <c r="L143" s="113"/>
      <c r="M143" s="607"/>
      <c r="N143" s="113"/>
      <c r="O143" s="771"/>
      <c r="P143" s="113"/>
      <c r="Q143" s="771"/>
      <c r="R143" s="321"/>
      <c r="S143" s="711"/>
      <c r="T143" s="745"/>
      <c r="U143" s="949"/>
      <c r="V143" s="740"/>
      <c r="W143" s="741"/>
      <c r="X143" s="48"/>
    </row>
    <row r="144" spans="1:24" s="25" customFormat="1" ht="18" customHeight="1" hidden="1" thickBot="1">
      <c r="A144" s="265"/>
      <c r="B144" s="227" t="s">
        <v>191</v>
      </c>
      <c r="C144" s="306"/>
      <c r="D144" s="369"/>
      <c r="E144" s="266"/>
      <c r="F144" s="347">
        <f>SUM(F140:F143)</f>
        <v>0</v>
      </c>
      <c r="G144" s="386"/>
      <c r="H144" s="267">
        <f>SUM(H140:H143)</f>
        <v>0</v>
      </c>
      <c r="I144" s="267"/>
      <c r="J144" s="347">
        <f>SUM(J140:J143)</f>
        <v>0</v>
      </c>
      <c r="K144" s="579"/>
      <c r="L144" s="267">
        <f>SUM(L140:L143)</f>
        <v>0</v>
      </c>
      <c r="M144" s="266"/>
      <c r="N144" s="267">
        <f>SUM(N140:N143)</f>
        <v>0</v>
      </c>
      <c r="O144" s="797"/>
      <c r="P144" s="267">
        <f>SUM(P140:P143)</f>
        <v>0</v>
      </c>
      <c r="Q144" s="797"/>
      <c r="R144" s="347">
        <f>SUM(R140:R143)</f>
        <v>0</v>
      </c>
      <c r="S144" s="717"/>
      <c r="T144" s="746"/>
      <c r="U144" s="715"/>
      <c r="V144" s="715"/>
      <c r="W144" s="747"/>
      <c r="X144" s="48"/>
    </row>
    <row r="145" spans="1:24" s="31" customFormat="1" ht="19.5" customHeight="1" thickBot="1">
      <c r="A145" s="258" t="s">
        <v>208</v>
      </c>
      <c r="B145" s="259"/>
      <c r="C145" s="295"/>
      <c r="D145" s="348"/>
      <c r="E145" s="260"/>
      <c r="F145" s="349">
        <f>F144+F138</f>
        <v>1281.2610000000002</v>
      </c>
      <c r="G145" s="387"/>
      <c r="H145" s="261">
        <f>H144+H138</f>
        <v>1281.2610000000002</v>
      </c>
      <c r="I145" s="261"/>
      <c r="J145" s="349">
        <f>J144+J138</f>
        <v>0</v>
      </c>
      <c r="K145" s="348"/>
      <c r="L145" s="261">
        <f>L144+L138</f>
        <v>0</v>
      </c>
      <c r="M145" s="260"/>
      <c r="N145" s="261">
        <f>N144+N138</f>
        <v>0</v>
      </c>
      <c r="O145" s="781"/>
      <c r="P145" s="261">
        <f>P144+P138</f>
        <v>1281.2610000000002</v>
      </c>
      <c r="Q145" s="781"/>
      <c r="R145" s="349">
        <f>R144+R138</f>
        <v>0</v>
      </c>
      <c r="S145" s="721"/>
      <c r="T145" s="748"/>
      <c r="U145" s="735"/>
      <c r="V145" s="735"/>
      <c r="W145" s="749"/>
      <c r="X145" s="48"/>
    </row>
    <row r="146" spans="1:24" s="31" customFormat="1" ht="21" customHeight="1">
      <c r="A146" s="268" t="s">
        <v>192</v>
      </c>
      <c r="B146" s="269"/>
      <c r="C146" s="307"/>
      <c r="D146" s="370"/>
      <c r="E146" s="270"/>
      <c r="F146" s="371"/>
      <c r="G146" s="370"/>
      <c r="H146" s="270"/>
      <c r="I146" s="270"/>
      <c r="J146" s="371"/>
      <c r="K146" s="370"/>
      <c r="L146" s="270"/>
      <c r="M146" s="270"/>
      <c r="N146" s="270"/>
      <c r="O146" s="798"/>
      <c r="P146" s="270"/>
      <c r="Q146" s="798"/>
      <c r="R146" s="371"/>
      <c r="S146" s="737"/>
      <c r="T146" s="750"/>
      <c r="U146" s="727"/>
      <c r="V146" s="727"/>
      <c r="W146" s="739"/>
      <c r="X146" s="48"/>
    </row>
    <row r="147" spans="1:24" s="31" customFormat="1" ht="33.75" customHeight="1">
      <c r="A147" s="246" t="s">
        <v>48</v>
      </c>
      <c r="B147" s="112" t="s">
        <v>440</v>
      </c>
      <c r="C147" s="308"/>
      <c r="D147" s="372"/>
      <c r="E147" s="636"/>
      <c r="F147" s="373"/>
      <c r="G147" s="393"/>
      <c r="H147" s="99"/>
      <c r="I147" s="99"/>
      <c r="J147" s="373"/>
      <c r="K147" s="383"/>
      <c r="L147" s="115"/>
      <c r="M147" s="115"/>
      <c r="N147" s="115"/>
      <c r="O147" s="799"/>
      <c r="P147" s="115"/>
      <c r="Q147" s="775"/>
      <c r="R147" s="619"/>
      <c r="S147" s="709"/>
      <c r="T147" s="745"/>
      <c r="U147" s="710"/>
      <c r="V147" s="710"/>
      <c r="W147" s="742"/>
      <c r="X147" s="48"/>
    </row>
    <row r="148" spans="1:24" s="31" customFormat="1" ht="17.25" customHeight="1">
      <c r="A148" s="246" t="s">
        <v>49</v>
      </c>
      <c r="B148" s="80" t="s">
        <v>441</v>
      </c>
      <c r="C148" s="309"/>
      <c r="D148" s="374"/>
      <c r="E148" s="636"/>
      <c r="F148" s="373"/>
      <c r="G148" s="393"/>
      <c r="H148" s="99"/>
      <c r="I148" s="99"/>
      <c r="J148" s="373"/>
      <c r="K148" s="382"/>
      <c r="L148" s="114"/>
      <c r="M148" s="114"/>
      <c r="N148" s="114"/>
      <c r="O148" s="773"/>
      <c r="P148" s="114"/>
      <c r="Q148" s="773"/>
      <c r="R148" s="326"/>
      <c r="S148" s="709"/>
      <c r="T148" s="745"/>
      <c r="U148" s="710"/>
      <c r="V148" s="710"/>
      <c r="W148" s="716"/>
      <c r="X148" s="48"/>
    </row>
    <row r="149" spans="1:24" s="26" customFormat="1" ht="50.25" customHeight="1">
      <c r="A149" s="247" t="s">
        <v>81</v>
      </c>
      <c r="B149" s="689" t="s">
        <v>759</v>
      </c>
      <c r="C149" s="561" t="s">
        <v>536</v>
      </c>
      <c r="D149" s="564">
        <v>21.89</v>
      </c>
      <c r="E149" s="556">
        <v>100</v>
      </c>
      <c r="F149" s="568">
        <f>D149*E149</f>
        <v>2189</v>
      </c>
      <c r="G149" s="394">
        <v>50</v>
      </c>
      <c r="H149" s="121">
        <f>F149/2</f>
        <v>1094.5</v>
      </c>
      <c r="I149" s="121">
        <f>E149-G149</f>
        <v>50</v>
      </c>
      <c r="J149" s="375">
        <f>I149*D149</f>
        <v>1094.5</v>
      </c>
      <c r="K149" s="578"/>
      <c r="L149" s="113"/>
      <c r="M149" s="608"/>
      <c r="N149" s="113"/>
      <c r="O149" s="800"/>
      <c r="P149" s="113"/>
      <c r="Q149" s="800">
        <f>E149</f>
        <v>100</v>
      </c>
      <c r="R149" s="321">
        <f>F149</f>
        <v>2189</v>
      </c>
      <c r="S149" s="711" t="s">
        <v>726</v>
      </c>
      <c r="T149" s="745"/>
      <c r="U149" s="710" t="s">
        <v>836</v>
      </c>
      <c r="V149" s="950" t="s">
        <v>822</v>
      </c>
      <c r="W149" s="741"/>
      <c r="X149" s="48"/>
    </row>
    <row r="150" spans="1:24" s="26" customFormat="1" ht="50.25" customHeight="1">
      <c r="A150" s="247" t="s">
        <v>335</v>
      </c>
      <c r="B150" s="560" t="s">
        <v>760</v>
      </c>
      <c r="C150" s="561" t="s">
        <v>536</v>
      </c>
      <c r="D150" s="564">
        <v>14.87</v>
      </c>
      <c r="E150" s="556">
        <v>22</v>
      </c>
      <c r="F150" s="568">
        <f>D150*E150</f>
        <v>327.14</v>
      </c>
      <c r="G150" s="394">
        <v>11</v>
      </c>
      <c r="H150" s="121">
        <f>D150*G150</f>
        <v>163.57</v>
      </c>
      <c r="I150" s="121">
        <f>E150-G150</f>
        <v>11</v>
      </c>
      <c r="J150" s="375">
        <f>I150*D150</f>
        <v>163.57</v>
      </c>
      <c r="K150" s="578"/>
      <c r="L150" s="113"/>
      <c r="M150" s="608"/>
      <c r="N150" s="113"/>
      <c r="O150" s="800"/>
      <c r="P150" s="113"/>
      <c r="Q150" s="800">
        <f>E150</f>
        <v>22</v>
      </c>
      <c r="R150" s="321">
        <f>F150</f>
        <v>327.14</v>
      </c>
      <c r="S150" s="711" t="s">
        <v>726</v>
      </c>
      <c r="T150" s="745"/>
      <c r="U150" s="710" t="s">
        <v>846</v>
      </c>
      <c r="V150" s="952"/>
      <c r="W150" s="741"/>
      <c r="X150" s="48"/>
    </row>
    <row r="151" spans="1:24" s="26" customFormat="1" ht="18.75" customHeight="1">
      <c r="A151" s="248"/>
      <c r="B151" s="62" t="s">
        <v>194</v>
      </c>
      <c r="C151" s="304"/>
      <c r="D151" s="365"/>
      <c r="E151" s="97"/>
      <c r="F151" s="341">
        <f>SUM(F149:F150)</f>
        <v>2516.14</v>
      </c>
      <c r="G151" s="340"/>
      <c r="H151" s="81">
        <f>SUM(H149:H150)</f>
        <v>1258.07</v>
      </c>
      <c r="I151" s="81"/>
      <c r="J151" s="341">
        <f>SUM(J149:J150)</f>
        <v>1258.07</v>
      </c>
      <c r="K151" s="580"/>
      <c r="L151" s="81">
        <f>SUM(L149:L150)</f>
        <v>0</v>
      </c>
      <c r="M151" s="97"/>
      <c r="N151" s="81">
        <f>SUM(N149:N150)</f>
        <v>0</v>
      </c>
      <c r="O151" s="801"/>
      <c r="P151" s="81">
        <f>SUM(P149:P150)</f>
        <v>0</v>
      </c>
      <c r="Q151" s="801"/>
      <c r="R151" s="341">
        <f>SUM(R149:R150)</f>
        <v>2516.14</v>
      </c>
      <c r="S151" s="709"/>
      <c r="T151" s="745"/>
      <c r="U151" s="710"/>
      <c r="V151" s="740"/>
      <c r="W151" s="751"/>
      <c r="X151" s="48"/>
    </row>
    <row r="152" spans="1:24" s="26" customFormat="1" ht="18.75" customHeight="1" hidden="1">
      <c r="A152" s="246" t="s">
        <v>444</v>
      </c>
      <c r="B152" s="80" t="s">
        <v>337</v>
      </c>
      <c r="C152" s="284"/>
      <c r="D152" s="361"/>
      <c r="E152" s="70"/>
      <c r="F152" s="329"/>
      <c r="G152" s="328"/>
      <c r="H152" s="71"/>
      <c r="I152" s="71"/>
      <c r="J152" s="329"/>
      <c r="K152" s="327"/>
      <c r="L152" s="71"/>
      <c r="M152" s="70"/>
      <c r="N152" s="71"/>
      <c r="O152" s="769"/>
      <c r="P152" s="71"/>
      <c r="Q152" s="769"/>
      <c r="R152" s="329"/>
      <c r="S152" s="709"/>
      <c r="T152" s="745"/>
      <c r="U152" s="710"/>
      <c r="V152" s="740"/>
      <c r="W152" s="751"/>
      <c r="X152" s="48"/>
    </row>
    <row r="153" spans="1:24" s="565" customFormat="1" ht="107.25" customHeight="1" hidden="1">
      <c r="A153" s="559" t="s">
        <v>445</v>
      </c>
      <c r="B153" s="560" t="s">
        <v>716</v>
      </c>
      <c r="C153" s="561" t="s">
        <v>536</v>
      </c>
      <c r="D153" s="555"/>
      <c r="E153" s="556"/>
      <c r="F153" s="557"/>
      <c r="G153" s="562"/>
      <c r="H153" s="556"/>
      <c r="I153" s="563"/>
      <c r="J153" s="557"/>
      <c r="K153" s="564"/>
      <c r="L153" s="556"/>
      <c r="M153" s="556"/>
      <c r="N153" s="586"/>
      <c r="O153" s="802"/>
      <c r="P153" s="556"/>
      <c r="Q153" s="802"/>
      <c r="R153" s="630"/>
      <c r="S153" s="752"/>
      <c r="T153" s="753"/>
      <c r="U153" s="754"/>
      <c r="V153" s="845"/>
      <c r="W153" s="755"/>
      <c r="X153" s="48"/>
    </row>
    <row r="154" spans="1:24" s="26" customFormat="1" ht="18.75" customHeight="1" hidden="1">
      <c r="A154" s="248"/>
      <c r="B154" s="62" t="s">
        <v>338</v>
      </c>
      <c r="C154" s="304"/>
      <c r="D154" s="365"/>
      <c r="E154" s="97"/>
      <c r="F154" s="341">
        <f>SUM(F153:F153)</f>
        <v>0</v>
      </c>
      <c r="G154" s="340"/>
      <c r="H154" s="81">
        <f>SUM(H153:H153)</f>
        <v>0</v>
      </c>
      <c r="I154" s="81"/>
      <c r="J154" s="341">
        <f>SUM(J153:J153)</f>
        <v>0</v>
      </c>
      <c r="K154" s="580"/>
      <c r="L154" s="81">
        <f>SUM(L153:L153)</f>
        <v>0</v>
      </c>
      <c r="M154" s="97"/>
      <c r="N154" s="81">
        <f>SUM(N153:N153)</f>
        <v>0</v>
      </c>
      <c r="O154" s="801"/>
      <c r="P154" s="81">
        <f>SUM(P153:P153)</f>
        <v>0</v>
      </c>
      <c r="Q154" s="801"/>
      <c r="R154" s="341">
        <f>SUM(R153:R153)</f>
        <v>0</v>
      </c>
      <c r="S154" s="709"/>
      <c r="T154" s="745"/>
      <c r="U154" s="710"/>
      <c r="V154" s="740"/>
      <c r="W154" s="751"/>
      <c r="X154" s="48"/>
    </row>
    <row r="155" spans="1:24" s="26" customFormat="1" ht="35.25" customHeight="1" hidden="1">
      <c r="A155" s="246" t="s">
        <v>340</v>
      </c>
      <c r="B155" s="80" t="s">
        <v>341</v>
      </c>
      <c r="C155" s="284"/>
      <c r="D155" s="361"/>
      <c r="E155" s="70"/>
      <c r="F155" s="329"/>
      <c r="G155" s="328"/>
      <c r="H155" s="71"/>
      <c r="I155" s="71"/>
      <c r="J155" s="329"/>
      <c r="K155" s="327"/>
      <c r="L155" s="71"/>
      <c r="M155" s="70"/>
      <c r="N155" s="71"/>
      <c r="O155" s="769"/>
      <c r="P155" s="71"/>
      <c r="Q155" s="769"/>
      <c r="R155" s="329"/>
      <c r="S155" s="709"/>
      <c r="T155" s="745"/>
      <c r="U155" s="710"/>
      <c r="V155" s="740"/>
      <c r="W155" s="751"/>
      <c r="X155" s="48"/>
    </row>
    <row r="156" spans="1:24" s="26" customFormat="1" ht="35.25" customHeight="1" hidden="1">
      <c r="A156" s="249" t="s">
        <v>342</v>
      </c>
      <c r="B156" s="98" t="s">
        <v>622</v>
      </c>
      <c r="C156" s="309" t="s">
        <v>536</v>
      </c>
      <c r="D156" s="361"/>
      <c r="E156" s="70"/>
      <c r="F156" s="317"/>
      <c r="G156" s="394"/>
      <c r="H156" s="70"/>
      <c r="I156" s="121"/>
      <c r="J156" s="317"/>
      <c r="K156" s="327"/>
      <c r="L156" s="70"/>
      <c r="M156" s="70"/>
      <c r="N156" s="71"/>
      <c r="O156" s="769"/>
      <c r="P156" s="70"/>
      <c r="Q156" s="769"/>
      <c r="R156" s="329"/>
      <c r="S156" s="711"/>
      <c r="T156" s="745"/>
      <c r="U156" s="946"/>
      <c r="V156" s="740"/>
      <c r="W156" s="751"/>
      <c r="X156" s="48"/>
    </row>
    <row r="157" spans="1:24" s="26" customFormat="1" ht="35.25" customHeight="1" hidden="1">
      <c r="A157" s="249" t="s">
        <v>343</v>
      </c>
      <c r="B157" s="98" t="s">
        <v>623</v>
      </c>
      <c r="C157" s="309" t="s">
        <v>536</v>
      </c>
      <c r="D157" s="361"/>
      <c r="E157" s="70"/>
      <c r="F157" s="317"/>
      <c r="G157" s="394"/>
      <c r="H157" s="70"/>
      <c r="I157" s="121"/>
      <c r="J157" s="317"/>
      <c r="K157" s="327"/>
      <c r="L157" s="70"/>
      <c r="M157" s="70"/>
      <c r="N157" s="71"/>
      <c r="O157" s="769"/>
      <c r="P157" s="70"/>
      <c r="Q157" s="769"/>
      <c r="R157" s="329"/>
      <c r="S157" s="711"/>
      <c r="T157" s="745"/>
      <c r="U157" s="946"/>
      <c r="V157" s="740"/>
      <c r="W157" s="751"/>
      <c r="X157" s="48"/>
    </row>
    <row r="158" spans="1:24" s="26" customFormat="1" ht="35.25" customHeight="1" hidden="1">
      <c r="A158" s="249" t="s">
        <v>624</v>
      </c>
      <c r="B158" s="98" t="s">
        <v>625</v>
      </c>
      <c r="C158" s="309" t="s">
        <v>536</v>
      </c>
      <c r="D158" s="361"/>
      <c r="E158" s="70"/>
      <c r="F158" s="317"/>
      <c r="G158" s="394"/>
      <c r="H158" s="70"/>
      <c r="I158" s="121"/>
      <c r="J158" s="317"/>
      <c r="K158" s="327"/>
      <c r="L158" s="70"/>
      <c r="M158" s="70"/>
      <c r="N158" s="71"/>
      <c r="O158" s="769"/>
      <c r="P158" s="70"/>
      <c r="Q158" s="769"/>
      <c r="R158" s="329"/>
      <c r="S158" s="711"/>
      <c r="T158" s="745"/>
      <c r="U158" s="946"/>
      <c r="V158" s="740"/>
      <c r="W158" s="751"/>
      <c r="X158" s="48"/>
    </row>
    <row r="159" spans="1:24" s="26" customFormat="1" ht="35.25" customHeight="1" hidden="1">
      <c r="A159" s="249" t="s">
        <v>626</v>
      </c>
      <c r="B159" s="98" t="s">
        <v>627</v>
      </c>
      <c r="C159" s="309" t="s">
        <v>536</v>
      </c>
      <c r="D159" s="361"/>
      <c r="E159" s="70"/>
      <c r="F159" s="317"/>
      <c r="G159" s="394"/>
      <c r="H159" s="70"/>
      <c r="I159" s="121"/>
      <c r="J159" s="317"/>
      <c r="K159" s="327"/>
      <c r="L159" s="70"/>
      <c r="M159" s="70"/>
      <c r="N159" s="71"/>
      <c r="O159" s="769"/>
      <c r="P159" s="70"/>
      <c r="Q159" s="769"/>
      <c r="R159" s="329"/>
      <c r="S159" s="711"/>
      <c r="T159" s="745"/>
      <c r="U159" s="946"/>
      <c r="V159" s="740"/>
      <c r="W159" s="751"/>
      <c r="X159" s="48"/>
    </row>
    <row r="160" spans="1:24" s="26" customFormat="1" ht="24.75" customHeight="1" hidden="1">
      <c r="A160" s="249" t="s">
        <v>628</v>
      </c>
      <c r="B160" s="98" t="s">
        <v>629</v>
      </c>
      <c r="C160" s="309" t="s">
        <v>536</v>
      </c>
      <c r="D160" s="361"/>
      <c r="E160" s="70"/>
      <c r="F160" s="317"/>
      <c r="G160" s="394"/>
      <c r="H160" s="70"/>
      <c r="I160" s="121"/>
      <c r="J160" s="317"/>
      <c r="K160" s="327"/>
      <c r="L160" s="70"/>
      <c r="M160" s="70"/>
      <c r="N160" s="71"/>
      <c r="O160" s="769"/>
      <c r="P160" s="70"/>
      <c r="Q160" s="769"/>
      <c r="R160" s="329"/>
      <c r="S160" s="711"/>
      <c r="T160" s="745"/>
      <c r="U160" s="946"/>
      <c r="V160" s="740"/>
      <c r="W160" s="751"/>
      <c r="X160" s="48"/>
    </row>
    <row r="161" spans="1:24" s="26" customFormat="1" ht="18.75" customHeight="1" hidden="1">
      <c r="A161" s="248"/>
      <c r="B161" s="62" t="s">
        <v>344</v>
      </c>
      <c r="C161" s="304"/>
      <c r="D161" s="365"/>
      <c r="E161" s="97"/>
      <c r="F161" s="341">
        <f>SUM(F156:F160)</f>
        <v>0</v>
      </c>
      <c r="G161" s="340"/>
      <c r="H161" s="81">
        <f>SUM(H156:H160)</f>
        <v>0</v>
      </c>
      <c r="I161" s="81"/>
      <c r="J161" s="341">
        <f>SUM(J156:J160)</f>
        <v>0</v>
      </c>
      <c r="K161" s="580"/>
      <c r="L161" s="81">
        <f>SUM(L156:L160)</f>
        <v>0</v>
      </c>
      <c r="M161" s="97"/>
      <c r="N161" s="81">
        <f>SUM(N156:N160)</f>
        <v>0</v>
      </c>
      <c r="O161" s="801"/>
      <c r="P161" s="81">
        <f>SUM(P156:P160)</f>
        <v>0</v>
      </c>
      <c r="Q161" s="801"/>
      <c r="R161" s="341">
        <f>SUM(R156:R160)</f>
        <v>0</v>
      </c>
      <c r="S161" s="709"/>
      <c r="T161" s="745"/>
      <c r="U161" s="710"/>
      <c r="V161" s="740"/>
      <c r="W161" s="751"/>
      <c r="X161" s="48"/>
    </row>
    <row r="162" spans="1:24" s="26" customFormat="1" ht="32.25" customHeight="1" hidden="1">
      <c r="A162" s="246" t="s">
        <v>345</v>
      </c>
      <c r="B162" s="80" t="s">
        <v>346</v>
      </c>
      <c r="C162" s="284"/>
      <c r="D162" s="361"/>
      <c r="E162" s="70"/>
      <c r="F162" s="329"/>
      <c r="G162" s="328"/>
      <c r="H162" s="71"/>
      <c r="I162" s="71"/>
      <c r="J162" s="329"/>
      <c r="K162" s="327"/>
      <c r="L162" s="71"/>
      <c r="M162" s="70"/>
      <c r="N162" s="71"/>
      <c r="O162" s="769"/>
      <c r="P162" s="71"/>
      <c r="Q162" s="769"/>
      <c r="R162" s="329"/>
      <c r="S162" s="709"/>
      <c r="T162" s="745"/>
      <c r="U162" s="710"/>
      <c r="V162" s="740"/>
      <c r="W162" s="751"/>
      <c r="X162" s="48"/>
    </row>
    <row r="163" spans="1:24" s="26" customFormat="1" ht="34.5" customHeight="1" hidden="1">
      <c r="A163" s="249" t="s">
        <v>0</v>
      </c>
      <c r="B163" s="96" t="s">
        <v>630</v>
      </c>
      <c r="C163" s="309" t="s">
        <v>536</v>
      </c>
      <c r="D163" s="361"/>
      <c r="E163" s="70"/>
      <c r="F163" s="317"/>
      <c r="G163" s="394"/>
      <c r="H163" s="70"/>
      <c r="I163" s="121"/>
      <c r="J163" s="317"/>
      <c r="K163" s="327"/>
      <c r="L163" s="70"/>
      <c r="M163" s="70"/>
      <c r="N163" s="71"/>
      <c r="O163" s="769"/>
      <c r="P163" s="70"/>
      <c r="Q163" s="769"/>
      <c r="R163" s="329"/>
      <c r="S163" s="711"/>
      <c r="T163" s="745"/>
      <c r="U163" s="947"/>
      <c r="V163" s="740"/>
      <c r="W163" s="751"/>
      <c r="X163" s="48"/>
    </row>
    <row r="164" spans="1:24" s="26" customFormat="1" ht="36.75" customHeight="1" hidden="1">
      <c r="A164" s="249" t="s">
        <v>631</v>
      </c>
      <c r="B164" s="96" t="s">
        <v>632</v>
      </c>
      <c r="C164" s="309" t="s">
        <v>536</v>
      </c>
      <c r="D164" s="361"/>
      <c r="E164" s="70"/>
      <c r="F164" s="317"/>
      <c r="G164" s="394"/>
      <c r="H164" s="70"/>
      <c r="I164" s="121"/>
      <c r="J164" s="317"/>
      <c r="K164" s="327"/>
      <c r="L164" s="70"/>
      <c r="M164" s="70"/>
      <c r="N164" s="71"/>
      <c r="O164" s="769"/>
      <c r="P164" s="70"/>
      <c r="Q164" s="769"/>
      <c r="R164" s="329"/>
      <c r="S164" s="711"/>
      <c r="T164" s="745"/>
      <c r="U164" s="949"/>
      <c r="V164" s="740"/>
      <c r="W164" s="751"/>
      <c r="X164" s="48"/>
    </row>
    <row r="165" spans="1:24" s="26" customFormat="1" ht="18.75" customHeight="1" hidden="1">
      <c r="A165" s="248"/>
      <c r="B165" s="62" t="s">
        <v>370</v>
      </c>
      <c r="C165" s="304"/>
      <c r="D165" s="365"/>
      <c r="E165" s="97"/>
      <c r="F165" s="341">
        <f>SUM(F163:F164)</f>
        <v>0</v>
      </c>
      <c r="G165" s="340"/>
      <c r="H165" s="81">
        <f>SUM(H163:H164)</f>
        <v>0</v>
      </c>
      <c r="I165" s="81"/>
      <c r="J165" s="341">
        <f>SUM(J163:J164)</f>
        <v>0</v>
      </c>
      <c r="K165" s="580"/>
      <c r="L165" s="81">
        <f>SUM(L163:L164)</f>
        <v>0</v>
      </c>
      <c r="M165" s="97"/>
      <c r="N165" s="81">
        <f>SUM(N163:N164)</f>
        <v>0</v>
      </c>
      <c r="O165" s="801"/>
      <c r="P165" s="81">
        <f>SUM(P163:P164)</f>
        <v>0</v>
      </c>
      <c r="Q165" s="801"/>
      <c r="R165" s="341">
        <f>SUM(R163:R164)</f>
        <v>0</v>
      </c>
      <c r="S165" s="709"/>
      <c r="T165" s="745"/>
      <c r="U165" s="710"/>
      <c r="V165" s="740"/>
      <c r="W165" s="751"/>
      <c r="X165" s="48"/>
    </row>
    <row r="166" spans="1:24" s="26" customFormat="1" ht="18" customHeight="1">
      <c r="A166" s="246" t="s">
        <v>785</v>
      </c>
      <c r="B166" s="80" t="s">
        <v>339</v>
      </c>
      <c r="C166" s="284"/>
      <c r="D166" s="361"/>
      <c r="E166" s="70"/>
      <c r="F166" s="329"/>
      <c r="G166" s="328"/>
      <c r="H166" s="71"/>
      <c r="I166" s="71"/>
      <c r="J166" s="329"/>
      <c r="K166" s="327"/>
      <c r="L166" s="71"/>
      <c r="M166" s="70"/>
      <c r="N166" s="71"/>
      <c r="O166" s="769"/>
      <c r="P166" s="71"/>
      <c r="Q166" s="769"/>
      <c r="R166" s="329"/>
      <c r="S166" s="709"/>
      <c r="T166" s="745"/>
      <c r="U166" s="710"/>
      <c r="V166" s="740"/>
      <c r="W166" s="751"/>
      <c r="X166" s="48"/>
    </row>
    <row r="167" spans="1:24" s="26" customFormat="1" ht="54" customHeight="1">
      <c r="A167" s="249" t="s">
        <v>786</v>
      </c>
      <c r="B167" s="560" t="s">
        <v>761</v>
      </c>
      <c r="C167" s="561" t="s">
        <v>536</v>
      </c>
      <c r="D167" s="564">
        <v>23.33</v>
      </c>
      <c r="E167" s="556">
        <v>10</v>
      </c>
      <c r="F167" s="568">
        <f>D167*E167</f>
        <v>233.29999999999998</v>
      </c>
      <c r="G167" s="394">
        <v>6</v>
      </c>
      <c r="H167" s="70">
        <f>D167*G167</f>
        <v>139.98</v>
      </c>
      <c r="I167" s="121">
        <f>E167-G167</f>
        <v>4</v>
      </c>
      <c r="J167" s="317">
        <f>I167*D167</f>
        <v>93.32</v>
      </c>
      <c r="K167" s="327"/>
      <c r="L167" s="70"/>
      <c r="M167" s="70"/>
      <c r="N167" s="70"/>
      <c r="O167" s="769"/>
      <c r="P167" s="70"/>
      <c r="Q167" s="769">
        <f aca="true" t="shared" si="14" ref="Q167:R171">E167</f>
        <v>10</v>
      </c>
      <c r="R167" s="317">
        <f t="shared" si="14"/>
        <v>233.29999999999998</v>
      </c>
      <c r="S167" s="711" t="s">
        <v>726</v>
      </c>
      <c r="T167" s="745"/>
      <c r="U167" s="947" t="s">
        <v>847</v>
      </c>
      <c r="V167" s="950" t="s">
        <v>822</v>
      </c>
      <c r="W167" s="751"/>
      <c r="X167" s="48"/>
    </row>
    <row r="168" spans="1:24" s="26" customFormat="1" ht="54" customHeight="1">
      <c r="A168" s="249" t="s">
        <v>787</v>
      </c>
      <c r="B168" s="560" t="s">
        <v>762</v>
      </c>
      <c r="C168" s="561" t="s">
        <v>536</v>
      </c>
      <c r="D168" s="564">
        <v>5.75</v>
      </c>
      <c r="E168" s="556">
        <v>28</v>
      </c>
      <c r="F168" s="568">
        <f>D168*E168</f>
        <v>161</v>
      </c>
      <c r="G168" s="394">
        <v>13</v>
      </c>
      <c r="H168" s="70">
        <f>D168*G168</f>
        <v>74.75</v>
      </c>
      <c r="I168" s="121">
        <f>E168-G168</f>
        <v>15</v>
      </c>
      <c r="J168" s="317">
        <f>I168*D168</f>
        <v>86.25</v>
      </c>
      <c r="K168" s="327"/>
      <c r="L168" s="70"/>
      <c r="M168" s="70"/>
      <c r="N168" s="70"/>
      <c r="O168" s="769"/>
      <c r="P168" s="70"/>
      <c r="Q168" s="769">
        <f t="shared" si="14"/>
        <v>28</v>
      </c>
      <c r="R168" s="317">
        <f t="shared" si="14"/>
        <v>161</v>
      </c>
      <c r="S168" s="711" t="s">
        <v>726</v>
      </c>
      <c r="T168" s="745"/>
      <c r="U168" s="948"/>
      <c r="V168" s="951"/>
      <c r="W168" s="751"/>
      <c r="X168" s="48"/>
    </row>
    <row r="169" spans="1:24" s="26" customFormat="1" ht="22.5" customHeight="1" hidden="1">
      <c r="A169" s="249" t="s">
        <v>719</v>
      </c>
      <c r="B169" s="560" t="s">
        <v>633</v>
      </c>
      <c r="C169" s="561" t="s">
        <v>536</v>
      </c>
      <c r="D169" s="564"/>
      <c r="E169" s="556"/>
      <c r="F169" s="568"/>
      <c r="G169" s="394">
        <f>ROUNDUP(E169*0.44,0)</f>
        <v>0</v>
      </c>
      <c r="H169" s="70">
        <f>D169*G169</f>
        <v>0</v>
      </c>
      <c r="I169" s="121">
        <f>E169-G169</f>
        <v>0</v>
      </c>
      <c r="J169" s="317">
        <f>I169*D169</f>
        <v>0</v>
      </c>
      <c r="K169" s="327"/>
      <c r="L169" s="70"/>
      <c r="M169" s="70"/>
      <c r="N169" s="70"/>
      <c r="O169" s="769"/>
      <c r="P169" s="70"/>
      <c r="Q169" s="769">
        <f t="shared" si="14"/>
        <v>0</v>
      </c>
      <c r="R169" s="317">
        <f t="shared" si="14"/>
        <v>0</v>
      </c>
      <c r="S169" s="711"/>
      <c r="T169" s="745"/>
      <c r="U169" s="948"/>
      <c r="V169" s="951"/>
      <c r="W169" s="751"/>
      <c r="X169" s="48"/>
    </row>
    <row r="170" spans="1:24" s="26" customFormat="1" ht="22.5" customHeight="1" hidden="1">
      <c r="A170" s="249" t="s">
        <v>720</v>
      </c>
      <c r="B170" s="560" t="s">
        <v>160</v>
      </c>
      <c r="C170" s="561" t="s">
        <v>536</v>
      </c>
      <c r="D170" s="564"/>
      <c r="E170" s="556"/>
      <c r="F170" s="568"/>
      <c r="G170" s="394">
        <f>ROUNDUP(E170*0.44,0)</f>
        <v>0</v>
      </c>
      <c r="H170" s="70">
        <f>D170*G170</f>
        <v>0</v>
      </c>
      <c r="I170" s="121">
        <f>E170-G170</f>
        <v>0</v>
      </c>
      <c r="J170" s="317">
        <f>I170*D170</f>
        <v>0</v>
      </c>
      <c r="K170" s="327"/>
      <c r="L170" s="70"/>
      <c r="M170" s="70"/>
      <c r="N170" s="70"/>
      <c r="O170" s="769"/>
      <c r="P170" s="70"/>
      <c r="Q170" s="769">
        <f t="shared" si="14"/>
        <v>0</v>
      </c>
      <c r="R170" s="317">
        <f t="shared" si="14"/>
        <v>0</v>
      </c>
      <c r="S170" s="711"/>
      <c r="T170" s="745"/>
      <c r="U170" s="948"/>
      <c r="V170" s="951"/>
      <c r="W170" s="751"/>
      <c r="X170" s="48"/>
    </row>
    <row r="171" spans="1:24" s="26" customFormat="1" ht="54" customHeight="1">
      <c r="A171" s="249" t="s">
        <v>788</v>
      </c>
      <c r="B171" s="560" t="s">
        <v>763</v>
      </c>
      <c r="C171" s="561" t="s">
        <v>536</v>
      </c>
      <c r="D171" s="564">
        <v>12.5</v>
      </c>
      <c r="E171" s="556">
        <v>10</v>
      </c>
      <c r="F171" s="568">
        <f>D171*E171</f>
        <v>125</v>
      </c>
      <c r="G171" s="394">
        <v>6</v>
      </c>
      <c r="H171" s="70">
        <f>D171*G171</f>
        <v>75</v>
      </c>
      <c r="I171" s="121">
        <f>E171-G171</f>
        <v>4</v>
      </c>
      <c r="J171" s="317">
        <f>I171*D171</f>
        <v>50</v>
      </c>
      <c r="K171" s="327"/>
      <c r="L171" s="70"/>
      <c r="M171" s="70"/>
      <c r="N171" s="70"/>
      <c r="O171" s="769"/>
      <c r="P171" s="70"/>
      <c r="Q171" s="769">
        <f t="shared" si="14"/>
        <v>10</v>
      </c>
      <c r="R171" s="317">
        <f t="shared" si="14"/>
        <v>125</v>
      </c>
      <c r="S171" s="711" t="s">
        <v>726</v>
      </c>
      <c r="T171" s="745"/>
      <c r="U171" s="948"/>
      <c r="V171" s="952"/>
      <c r="W171" s="751"/>
      <c r="X171" s="48"/>
    </row>
    <row r="172" spans="1:24" s="26" customFormat="1" ht="40.5" customHeight="1" hidden="1">
      <c r="A172" s="249" t="s">
        <v>634</v>
      </c>
      <c r="B172" s="87" t="s">
        <v>713</v>
      </c>
      <c r="C172" s="309" t="s">
        <v>536</v>
      </c>
      <c r="D172" s="361"/>
      <c r="E172" s="70"/>
      <c r="F172" s="317"/>
      <c r="G172" s="394"/>
      <c r="H172" s="70"/>
      <c r="I172" s="121"/>
      <c r="J172" s="317"/>
      <c r="K172" s="327"/>
      <c r="L172" s="70"/>
      <c r="M172" s="70"/>
      <c r="N172" s="71"/>
      <c r="O172" s="769"/>
      <c r="P172" s="70"/>
      <c r="Q172" s="769"/>
      <c r="R172" s="329"/>
      <c r="S172" s="711"/>
      <c r="T172" s="745"/>
      <c r="U172" s="948"/>
      <c r="V172" s="740"/>
      <c r="W172" s="751"/>
      <c r="X172" s="48"/>
    </row>
    <row r="173" spans="1:24" s="26" customFormat="1" ht="22.5" customHeight="1" hidden="1">
      <c r="A173" s="249" t="s">
        <v>635</v>
      </c>
      <c r="B173" s="87" t="s">
        <v>636</v>
      </c>
      <c r="C173" s="309" t="s">
        <v>536</v>
      </c>
      <c r="D173" s="361"/>
      <c r="E173" s="70"/>
      <c r="F173" s="317"/>
      <c r="G173" s="394"/>
      <c r="H173" s="70"/>
      <c r="I173" s="121"/>
      <c r="J173" s="317"/>
      <c r="K173" s="327"/>
      <c r="L173" s="70"/>
      <c r="M173" s="70"/>
      <c r="N173" s="71"/>
      <c r="O173" s="769"/>
      <c r="P173" s="70"/>
      <c r="Q173" s="769"/>
      <c r="R173" s="329"/>
      <c r="S173" s="711"/>
      <c r="T173" s="745"/>
      <c r="U173" s="949"/>
      <c r="V173" s="740"/>
      <c r="W173" s="751"/>
      <c r="X173" s="48"/>
    </row>
    <row r="174" spans="1:24" s="26" customFormat="1" ht="43.5" customHeight="1" hidden="1">
      <c r="A174" s="249" t="s">
        <v>637</v>
      </c>
      <c r="B174" s="87" t="s">
        <v>638</v>
      </c>
      <c r="C174" s="309" t="s">
        <v>536</v>
      </c>
      <c r="D174" s="361"/>
      <c r="E174" s="70"/>
      <c r="F174" s="317"/>
      <c r="G174" s="394"/>
      <c r="H174" s="70"/>
      <c r="I174" s="121"/>
      <c r="J174" s="317"/>
      <c r="K174" s="327"/>
      <c r="L174" s="70"/>
      <c r="M174" s="70"/>
      <c r="N174" s="71"/>
      <c r="O174" s="769"/>
      <c r="P174" s="70"/>
      <c r="Q174" s="769"/>
      <c r="R174" s="329"/>
      <c r="S174" s="711"/>
      <c r="T174" s="745"/>
      <c r="U174" s="710"/>
      <c r="V174" s="740"/>
      <c r="W174" s="751"/>
      <c r="X174" s="48"/>
    </row>
    <row r="175" spans="1:24" s="26" customFormat="1" ht="18.75" customHeight="1">
      <c r="A175" s="248"/>
      <c r="B175" s="62" t="s">
        <v>792</v>
      </c>
      <c r="C175" s="304"/>
      <c r="D175" s="365"/>
      <c r="E175" s="97"/>
      <c r="F175" s="341">
        <f>SUM(F167:F174)</f>
        <v>519.3</v>
      </c>
      <c r="G175" s="340"/>
      <c r="H175" s="81">
        <f>SUM(H167:H174)</f>
        <v>289.73</v>
      </c>
      <c r="I175" s="81"/>
      <c r="J175" s="341">
        <f>SUM(J167:J174)</f>
        <v>229.57</v>
      </c>
      <c r="K175" s="580"/>
      <c r="L175" s="81">
        <f>SUM(L167:L174)</f>
        <v>0</v>
      </c>
      <c r="M175" s="97"/>
      <c r="N175" s="81">
        <f>SUM(N167:N174)</f>
        <v>0</v>
      </c>
      <c r="O175" s="801"/>
      <c r="P175" s="81">
        <f>SUM(P167:P174)</f>
        <v>0</v>
      </c>
      <c r="Q175" s="801"/>
      <c r="R175" s="341">
        <f>SUM(R167:R174)</f>
        <v>519.3</v>
      </c>
      <c r="S175" s="709"/>
      <c r="T175" s="745"/>
      <c r="U175" s="710"/>
      <c r="V175" s="740"/>
      <c r="W175" s="751"/>
      <c r="X175" s="48"/>
    </row>
    <row r="176" spans="1:24" s="26" customFormat="1" ht="19.5" customHeight="1">
      <c r="A176" s="248"/>
      <c r="B176" s="83" t="s">
        <v>195</v>
      </c>
      <c r="C176" s="305"/>
      <c r="D176" s="368"/>
      <c r="E176" s="95"/>
      <c r="F176" s="343">
        <f>F151+F154+F161+F165+F175</f>
        <v>3035.4399999999996</v>
      </c>
      <c r="G176" s="342"/>
      <c r="H176" s="84">
        <f>H151+H154+H161+H165+H175</f>
        <v>1547.8</v>
      </c>
      <c r="I176" s="84"/>
      <c r="J176" s="343">
        <f>J151+J154+J161+J165+J175</f>
        <v>1487.6399999999999</v>
      </c>
      <c r="K176" s="576"/>
      <c r="L176" s="84">
        <f>L151+L154+L161+L165+L175</f>
        <v>0</v>
      </c>
      <c r="M176" s="95"/>
      <c r="N176" s="84">
        <f>N151+N154+N161+N165+N175</f>
        <v>0</v>
      </c>
      <c r="O176" s="796"/>
      <c r="P176" s="84">
        <f>P151+P154+P161+P165+P175</f>
        <v>0</v>
      </c>
      <c r="Q176" s="796"/>
      <c r="R176" s="343">
        <f>R151+R154+R161+R165+R175</f>
        <v>3035.4399999999996</v>
      </c>
      <c r="S176" s="709"/>
      <c r="T176" s="745"/>
      <c r="U176" s="710"/>
      <c r="V176" s="740"/>
      <c r="W176" s="751"/>
      <c r="X176" s="48"/>
    </row>
    <row r="177" spans="1:24" s="29" customFormat="1" ht="20.25" customHeight="1">
      <c r="A177" s="250" t="s">
        <v>50</v>
      </c>
      <c r="B177" s="83" t="s">
        <v>289</v>
      </c>
      <c r="C177" s="284"/>
      <c r="D177" s="361"/>
      <c r="E177" s="70"/>
      <c r="F177" s="329"/>
      <c r="G177" s="328"/>
      <c r="H177" s="71"/>
      <c r="I177" s="71"/>
      <c r="J177" s="329"/>
      <c r="K177" s="578"/>
      <c r="L177" s="113"/>
      <c r="M177" s="608"/>
      <c r="N177" s="113"/>
      <c r="O177" s="800"/>
      <c r="P177" s="113"/>
      <c r="Q177" s="800"/>
      <c r="R177" s="631"/>
      <c r="S177" s="709"/>
      <c r="T177" s="745"/>
      <c r="U177" s="710"/>
      <c r="V177" s="740"/>
      <c r="W177" s="751"/>
      <c r="X177" s="48"/>
    </row>
    <row r="178" spans="1:24" s="29" customFormat="1" ht="22.5" customHeight="1">
      <c r="A178" s="246" t="s">
        <v>546</v>
      </c>
      <c r="B178" s="62" t="s">
        <v>554</v>
      </c>
      <c r="C178" s="284"/>
      <c r="D178" s="361"/>
      <c r="E178" s="70"/>
      <c r="F178" s="329"/>
      <c r="G178" s="328"/>
      <c r="H178" s="71"/>
      <c r="I178" s="71"/>
      <c r="J178" s="329"/>
      <c r="K178" s="578"/>
      <c r="L178" s="113"/>
      <c r="M178" s="608"/>
      <c r="N178" s="113"/>
      <c r="O178" s="800"/>
      <c r="P178" s="113"/>
      <c r="Q178" s="800"/>
      <c r="R178" s="631"/>
      <c r="S178" s="709"/>
      <c r="T178" s="745"/>
      <c r="U178" s="710"/>
      <c r="V178" s="740"/>
      <c r="W178" s="751"/>
      <c r="X178" s="48"/>
    </row>
    <row r="179" spans="1:24" s="29" customFormat="1" ht="52.5" customHeight="1">
      <c r="A179" s="251" t="s">
        <v>86</v>
      </c>
      <c r="B179" s="560" t="s">
        <v>506</v>
      </c>
      <c r="C179" s="690" t="s">
        <v>74</v>
      </c>
      <c r="D179" s="564"/>
      <c r="E179" s="556"/>
      <c r="F179" s="568">
        <v>1372.16</v>
      </c>
      <c r="G179" s="394"/>
      <c r="H179" s="99">
        <f>686.08+4.01</f>
        <v>690.09</v>
      </c>
      <c r="I179" s="121"/>
      <c r="J179" s="373">
        <f>F179-H179</f>
        <v>682.07</v>
      </c>
      <c r="K179" s="578"/>
      <c r="L179" s="113">
        <f>F179</f>
        <v>1372.16</v>
      </c>
      <c r="M179" s="608"/>
      <c r="N179" s="113"/>
      <c r="O179" s="800"/>
      <c r="P179" s="113"/>
      <c r="Q179" s="800"/>
      <c r="R179" s="631"/>
      <c r="S179" s="711" t="s">
        <v>726</v>
      </c>
      <c r="T179" s="745"/>
      <c r="U179" s="710" t="s">
        <v>846</v>
      </c>
      <c r="V179" s="740" t="s">
        <v>823</v>
      </c>
      <c r="W179" s="751"/>
      <c r="X179" s="48"/>
    </row>
    <row r="180" spans="1:24" s="29" customFormat="1" ht="38.25" customHeight="1" hidden="1">
      <c r="A180" s="251" t="s">
        <v>639</v>
      </c>
      <c r="B180" s="96" t="s">
        <v>641</v>
      </c>
      <c r="C180" s="310" t="s">
        <v>536</v>
      </c>
      <c r="D180" s="566"/>
      <c r="E180" s="563"/>
      <c r="F180" s="567"/>
      <c r="G180" s="394"/>
      <c r="H180" s="99"/>
      <c r="I180" s="121"/>
      <c r="J180" s="373"/>
      <c r="K180" s="393"/>
      <c r="L180" s="113"/>
      <c r="M180" s="608"/>
      <c r="N180" s="113"/>
      <c r="O180" s="800"/>
      <c r="P180" s="113"/>
      <c r="Q180" s="800"/>
      <c r="R180" s="631"/>
      <c r="S180" s="711"/>
      <c r="T180" s="745"/>
      <c r="U180" s="947"/>
      <c r="V180" s="740"/>
      <c r="W180" s="751"/>
      <c r="X180" s="48"/>
    </row>
    <row r="181" spans="1:24" s="29" customFormat="1" ht="38.25" customHeight="1" hidden="1">
      <c r="A181" s="251" t="s">
        <v>640</v>
      </c>
      <c r="B181" s="96" t="s">
        <v>642</v>
      </c>
      <c r="C181" s="310" t="s">
        <v>536</v>
      </c>
      <c r="D181" s="566"/>
      <c r="E181" s="563"/>
      <c r="F181" s="567"/>
      <c r="G181" s="394"/>
      <c r="H181" s="99"/>
      <c r="I181" s="121"/>
      <c r="J181" s="373"/>
      <c r="K181" s="393"/>
      <c r="L181" s="113"/>
      <c r="M181" s="608"/>
      <c r="N181" s="113"/>
      <c r="O181" s="800"/>
      <c r="P181" s="113"/>
      <c r="Q181" s="800"/>
      <c r="R181" s="631"/>
      <c r="S181" s="711"/>
      <c r="T181" s="745"/>
      <c r="U181" s="949"/>
      <c r="V181" s="740"/>
      <c r="W181" s="751"/>
      <c r="X181" s="48"/>
    </row>
    <row r="182" spans="1:24" s="29" customFormat="1" ht="19.5" customHeight="1">
      <c r="A182" s="251"/>
      <c r="B182" s="62" t="s">
        <v>196</v>
      </c>
      <c r="C182" s="304"/>
      <c r="D182" s="365"/>
      <c r="E182" s="97"/>
      <c r="F182" s="341">
        <f>SUM(F179:F181)</f>
        <v>1372.16</v>
      </c>
      <c r="G182" s="340"/>
      <c r="H182" s="81">
        <f>SUM(H179:H181)</f>
        <v>690.09</v>
      </c>
      <c r="I182" s="81"/>
      <c r="J182" s="341">
        <f>SUM(J179:J181)</f>
        <v>682.07</v>
      </c>
      <c r="K182" s="580"/>
      <c r="L182" s="81">
        <f>SUM(L179:L181)</f>
        <v>1372.16</v>
      </c>
      <c r="M182" s="97"/>
      <c r="N182" s="81">
        <f>SUM(N179:N181)</f>
        <v>0</v>
      </c>
      <c r="O182" s="801"/>
      <c r="P182" s="81">
        <f>SUM(P179:P181)</f>
        <v>0</v>
      </c>
      <c r="Q182" s="801"/>
      <c r="R182" s="341">
        <f>SUM(R179:R181)</f>
        <v>0</v>
      </c>
      <c r="S182" s="709"/>
      <c r="T182" s="745"/>
      <c r="U182" s="710"/>
      <c r="V182" s="740"/>
      <c r="W182" s="751"/>
      <c r="X182" s="48"/>
    </row>
    <row r="183" spans="1:24" s="29" customFormat="1" ht="18.75" customHeight="1">
      <c r="A183" s="252"/>
      <c r="B183" s="83" t="s">
        <v>197</v>
      </c>
      <c r="C183" s="305"/>
      <c r="D183" s="368"/>
      <c r="E183" s="95"/>
      <c r="F183" s="343">
        <f>SUM(F182)</f>
        <v>1372.16</v>
      </c>
      <c r="G183" s="342"/>
      <c r="H183" s="84">
        <f>SUM(H182)</f>
        <v>690.09</v>
      </c>
      <c r="I183" s="84"/>
      <c r="J183" s="343">
        <f>SUM(J182)</f>
        <v>682.07</v>
      </c>
      <c r="K183" s="576"/>
      <c r="L183" s="84">
        <f>SUM(L182)</f>
        <v>1372.16</v>
      </c>
      <c r="M183" s="95"/>
      <c r="N183" s="84">
        <f>SUM(N182)</f>
        <v>0</v>
      </c>
      <c r="O183" s="796"/>
      <c r="P183" s="84">
        <f>SUM(P182)</f>
        <v>0</v>
      </c>
      <c r="Q183" s="796"/>
      <c r="R183" s="343">
        <f>SUM(R182)</f>
        <v>0</v>
      </c>
      <c r="S183" s="709"/>
      <c r="T183" s="745"/>
      <c r="U183" s="710"/>
      <c r="V183" s="740"/>
      <c r="W183" s="751"/>
      <c r="X183" s="48"/>
    </row>
    <row r="184" spans="1:24" s="29" customFormat="1" ht="36" customHeight="1">
      <c r="A184" s="246" t="s">
        <v>535</v>
      </c>
      <c r="B184" s="112" t="s">
        <v>442</v>
      </c>
      <c r="C184" s="284"/>
      <c r="D184" s="361"/>
      <c r="E184" s="70"/>
      <c r="F184" s="329"/>
      <c r="G184" s="328"/>
      <c r="H184" s="71"/>
      <c r="I184" s="71"/>
      <c r="J184" s="329"/>
      <c r="K184" s="327"/>
      <c r="L184" s="71"/>
      <c r="M184" s="70"/>
      <c r="N184" s="71"/>
      <c r="O184" s="769"/>
      <c r="P184" s="71"/>
      <c r="Q184" s="769"/>
      <c r="R184" s="329"/>
      <c r="S184" s="709"/>
      <c r="T184" s="745"/>
      <c r="U184" s="710"/>
      <c r="V184" s="740"/>
      <c r="W184" s="751"/>
      <c r="X184" s="48"/>
    </row>
    <row r="185" spans="1:24" s="29" customFormat="1" ht="18.75" customHeight="1" hidden="1">
      <c r="A185" s="246" t="s">
        <v>227</v>
      </c>
      <c r="B185" s="62" t="s">
        <v>558</v>
      </c>
      <c r="C185" s="284"/>
      <c r="D185" s="361"/>
      <c r="E185" s="70"/>
      <c r="F185" s="317"/>
      <c r="G185" s="327"/>
      <c r="H185" s="70"/>
      <c r="I185" s="70"/>
      <c r="J185" s="317"/>
      <c r="K185" s="327"/>
      <c r="L185" s="71"/>
      <c r="M185" s="70"/>
      <c r="N185" s="71"/>
      <c r="O185" s="769"/>
      <c r="P185" s="71"/>
      <c r="Q185" s="769"/>
      <c r="R185" s="329"/>
      <c r="S185" s="709"/>
      <c r="T185" s="745"/>
      <c r="U185" s="710"/>
      <c r="V185" s="740"/>
      <c r="W185" s="751"/>
      <c r="X185" s="48"/>
    </row>
    <row r="186" spans="1:24" s="29" customFormat="1" ht="18.75" customHeight="1" hidden="1">
      <c r="A186" s="246" t="s">
        <v>228</v>
      </c>
      <c r="B186" s="80" t="s">
        <v>559</v>
      </c>
      <c r="C186" s="284"/>
      <c r="D186" s="361"/>
      <c r="E186" s="70"/>
      <c r="F186" s="317"/>
      <c r="G186" s="327"/>
      <c r="H186" s="70"/>
      <c r="I186" s="70"/>
      <c r="J186" s="317"/>
      <c r="K186" s="327"/>
      <c r="L186" s="71"/>
      <c r="M186" s="70"/>
      <c r="N186" s="71"/>
      <c r="O186" s="769"/>
      <c r="P186" s="71"/>
      <c r="Q186" s="769"/>
      <c r="R186" s="329"/>
      <c r="S186" s="709"/>
      <c r="T186" s="745"/>
      <c r="U186" s="710"/>
      <c r="V186" s="740"/>
      <c r="W186" s="751"/>
      <c r="X186" s="48"/>
    </row>
    <row r="187" spans="1:24" s="29" customFormat="1" ht="36.75" customHeight="1" hidden="1">
      <c r="A187" s="247" t="s">
        <v>161</v>
      </c>
      <c r="B187" s="87" t="s">
        <v>592</v>
      </c>
      <c r="C187" s="310" t="s">
        <v>536</v>
      </c>
      <c r="D187" s="555"/>
      <c r="E187" s="556"/>
      <c r="F187" s="557"/>
      <c r="G187" s="394"/>
      <c r="H187" s="70"/>
      <c r="I187" s="121"/>
      <c r="J187" s="317"/>
      <c r="K187" s="327"/>
      <c r="L187" s="70"/>
      <c r="M187" s="70"/>
      <c r="N187" s="70"/>
      <c r="O187" s="769"/>
      <c r="P187" s="71"/>
      <c r="Q187" s="769"/>
      <c r="R187" s="329"/>
      <c r="S187" s="711"/>
      <c r="T187" s="745"/>
      <c r="U187" s="710"/>
      <c r="V187" s="740"/>
      <c r="W187" s="751"/>
      <c r="X187" s="48"/>
    </row>
    <row r="188" spans="1:24" s="29" customFormat="1" ht="36.75" customHeight="1" hidden="1">
      <c r="A188" s="247" t="s">
        <v>643</v>
      </c>
      <c r="B188" s="87" t="s">
        <v>644</v>
      </c>
      <c r="C188" s="310" t="s">
        <v>74</v>
      </c>
      <c r="D188" s="361"/>
      <c r="E188" s="70"/>
      <c r="F188" s="317"/>
      <c r="G188" s="394"/>
      <c r="H188" s="70"/>
      <c r="I188" s="121"/>
      <c r="J188" s="317"/>
      <c r="K188" s="327"/>
      <c r="L188" s="70"/>
      <c r="M188" s="70"/>
      <c r="N188" s="70"/>
      <c r="O188" s="769"/>
      <c r="P188" s="71"/>
      <c r="Q188" s="769"/>
      <c r="R188" s="329"/>
      <c r="S188" s="711"/>
      <c r="T188" s="745"/>
      <c r="U188" s="710"/>
      <c r="V188" s="740"/>
      <c r="W188" s="751"/>
      <c r="X188" s="48"/>
    </row>
    <row r="189" spans="1:24" s="29" customFormat="1" ht="18.75" customHeight="1" hidden="1">
      <c r="A189" s="246"/>
      <c r="B189" s="62" t="s">
        <v>196</v>
      </c>
      <c r="C189" s="304"/>
      <c r="D189" s="365"/>
      <c r="E189" s="97"/>
      <c r="F189" s="341">
        <f>SUM(F187:F188)</f>
        <v>0</v>
      </c>
      <c r="G189" s="340"/>
      <c r="H189" s="81">
        <f>SUM(H187:H188)</f>
        <v>0</v>
      </c>
      <c r="I189" s="81"/>
      <c r="J189" s="341">
        <f>SUM(J187:J188)</f>
        <v>0</v>
      </c>
      <c r="K189" s="340"/>
      <c r="L189" s="81">
        <f aca="true" t="shared" si="15" ref="L189:R189">SUM(L187:L188)</f>
        <v>0</v>
      </c>
      <c r="M189" s="81"/>
      <c r="N189" s="81">
        <f t="shared" si="15"/>
        <v>0</v>
      </c>
      <c r="O189" s="803"/>
      <c r="P189" s="81">
        <f t="shared" si="15"/>
        <v>0</v>
      </c>
      <c r="Q189" s="803"/>
      <c r="R189" s="341">
        <f t="shared" si="15"/>
        <v>0</v>
      </c>
      <c r="S189" s="709"/>
      <c r="T189" s="745"/>
      <c r="U189" s="710"/>
      <c r="V189" s="740"/>
      <c r="W189" s="751"/>
      <c r="X189" s="48"/>
    </row>
    <row r="190" spans="1:24" s="29" customFormat="1" ht="18.75" customHeight="1" hidden="1">
      <c r="A190" s="246" t="s">
        <v>229</v>
      </c>
      <c r="B190" s="80" t="s">
        <v>561</v>
      </c>
      <c r="C190" s="284"/>
      <c r="D190" s="361"/>
      <c r="E190" s="70"/>
      <c r="F190" s="317"/>
      <c r="G190" s="327"/>
      <c r="H190" s="70"/>
      <c r="I190" s="70"/>
      <c r="J190" s="317"/>
      <c r="K190" s="327"/>
      <c r="L190" s="71"/>
      <c r="M190" s="70"/>
      <c r="N190" s="71"/>
      <c r="O190" s="769"/>
      <c r="P190" s="71"/>
      <c r="Q190" s="769"/>
      <c r="R190" s="329"/>
      <c r="S190" s="709"/>
      <c r="T190" s="745"/>
      <c r="U190" s="710"/>
      <c r="V190" s="740"/>
      <c r="W190" s="751"/>
      <c r="X190" s="48"/>
    </row>
    <row r="191" spans="1:24" s="29" customFormat="1" ht="18.75" customHeight="1" hidden="1">
      <c r="A191" s="246" t="s">
        <v>230</v>
      </c>
      <c r="B191" s="80" t="s">
        <v>541</v>
      </c>
      <c r="C191" s="284"/>
      <c r="D191" s="361"/>
      <c r="E191" s="70"/>
      <c r="F191" s="317"/>
      <c r="G191" s="327"/>
      <c r="H191" s="70"/>
      <c r="I191" s="70"/>
      <c r="J191" s="317"/>
      <c r="K191" s="327"/>
      <c r="L191" s="71"/>
      <c r="M191" s="70"/>
      <c r="N191" s="71"/>
      <c r="O191" s="769"/>
      <c r="P191" s="71"/>
      <c r="Q191" s="769"/>
      <c r="R191" s="329"/>
      <c r="S191" s="709"/>
      <c r="T191" s="745"/>
      <c r="U191" s="710"/>
      <c r="V191" s="740"/>
      <c r="W191" s="751"/>
      <c r="X191" s="48"/>
    </row>
    <row r="192" spans="1:24" s="29" customFormat="1" ht="18.75" customHeight="1" hidden="1">
      <c r="A192" s="246" t="s">
        <v>231</v>
      </c>
      <c r="B192" s="80" t="s">
        <v>562</v>
      </c>
      <c r="C192" s="284"/>
      <c r="D192" s="361"/>
      <c r="E192" s="70"/>
      <c r="F192" s="317"/>
      <c r="G192" s="327"/>
      <c r="H192" s="70"/>
      <c r="I192" s="70"/>
      <c r="J192" s="317"/>
      <c r="K192" s="327"/>
      <c r="L192" s="71"/>
      <c r="M192" s="70"/>
      <c r="N192" s="71"/>
      <c r="O192" s="769"/>
      <c r="P192" s="71"/>
      <c r="Q192" s="769"/>
      <c r="R192" s="329"/>
      <c r="S192" s="709"/>
      <c r="T192" s="745"/>
      <c r="U192" s="710"/>
      <c r="V192" s="740"/>
      <c r="W192" s="751"/>
      <c r="X192" s="48"/>
    </row>
    <row r="193" spans="1:24" s="29" customFormat="1" ht="24" customHeight="1" hidden="1">
      <c r="A193" s="247" t="s">
        <v>313</v>
      </c>
      <c r="B193" s="87" t="s">
        <v>318</v>
      </c>
      <c r="C193" s="284" t="s">
        <v>74</v>
      </c>
      <c r="D193" s="361"/>
      <c r="E193" s="70"/>
      <c r="F193" s="317"/>
      <c r="G193" s="327"/>
      <c r="H193" s="70"/>
      <c r="I193" s="70"/>
      <c r="J193" s="317"/>
      <c r="K193" s="327"/>
      <c r="L193" s="70">
        <f>F193/2</f>
        <v>0</v>
      </c>
      <c r="M193" s="70"/>
      <c r="N193" s="70"/>
      <c r="O193" s="769"/>
      <c r="P193" s="70">
        <f>F193-L193-N193</f>
        <v>0</v>
      </c>
      <c r="Q193" s="769"/>
      <c r="R193" s="317"/>
      <c r="S193" s="711"/>
      <c r="T193" s="745"/>
      <c r="U193" s="710"/>
      <c r="V193" s="740"/>
      <c r="W193" s="751"/>
      <c r="X193" s="48"/>
    </row>
    <row r="194" spans="1:24" s="29" customFormat="1" ht="18.75" customHeight="1" hidden="1">
      <c r="A194" s="246"/>
      <c r="B194" s="62" t="s">
        <v>507</v>
      </c>
      <c r="C194" s="304"/>
      <c r="D194" s="365"/>
      <c r="E194" s="97"/>
      <c r="F194" s="341">
        <f>SUM(F193)</f>
        <v>0</v>
      </c>
      <c r="G194" s="340"/>
      <c r="H194" s="81"/>
      <c r="I194" s="81"/>
      <c r="J194" s="341"/>
      <c r="K194" s="580"/>
      <c r="L194" s="81">
        <f>SUM(L193)</f>
        <v>0</v>
      </c>
      <c r="M194" s="97"/>
      <c r="N194" s="81">
        <f>SUM(N193)</f>
        <v>0</v>
      </c>
      <c r="O194" s="801"/>
      <c r="P194" s="81">
        <f>SUM(P193)</f>
        <v>0</v>
      </c>
      <c r="Q194" s="801"/>
      <c r="R194" s="341">
        <f>SUM(R193)</f>
        <v>0</v>
      </c>
      <c r="S194" s="709"/>
      <c r="T194" s="745"/>
      <c r="U194" s="710"/>
      <c r="V194" s="740"/>
      <c r="W194" s="751"/>
      <c r="X194" s="48"/>
    </row>
    <row r="195" spans="1:24" s="29" customFormat="1" ht="18.75" customHeight="1">
      <c r="A195" s="246" t="s">
        <v>789</v>
      </c>
      <c r="B195" s="62" t="s">
        <v>426</v>
      </c>
      <c r="C195" s="284"/>
      <c r="D195" s="361"/>
      <c r="E195" s="70"/>
      <c r="F195" s="317"/>
      <c r="G195" s="327"/>
      <c r="H195" s="70"/>
      <c r="I195" s="70"/>
      <c r="J195" s="317"/>
      <c r="K195" s="327"/>
      <c r="L195" s="71"/>
      <c r="M195" s="70"/>
      <c r="N195" s="71"/>
      <c r="O195" s="769"/>
      <c r="P195" s="71"/>
      <c r="Q195" s="769"/>
      <c r="R195" s="329"/>
      <c r="S195" s="709"/>
      <c r="T195" s="745"/>
      <c r="U195" s="710"/>
      <c r="V195" s="740"/>
      <c r="W195" s="751"/>
      <c r="X195" s="48"/>
    </row>
    <row r="196" spans="1:24" s="29" customFormat="1" ht="53.25" customHeight="1">
      <c r="A196" s="234" t="s">
        <v>790</v>
      </c>
      <c r="B196" s="691" t="s">
        <v>336</v>
      </c>
      <c r="C196" s="692" t="s">
        <v>74</v>
      </c>
      <c r="D196" s="564"/>
      <c r="E196" s="556"/>
      <c r="F196" s="568">
        <v>1000</v>
      </c>
      <c r="G196" s="394"/>
      <c r="H196" s="99">
        <v>500</v>
      </c>
      <c r="I196" s="121"/>
      <c r="J196" s="373">
        <v>500</v>
      </c>
      <c r="K196" s="327"/>
      <c r="L196" s="70">
        <f>F196</f>
        <v>1000</v>
      </c>
      <c r="M196" s="70"/>
      <c r="N196" s="70"/>
      <c r="O196" s="769"/>
      <c r="P196" s="121"/>
      <c r="Q196" s="769"/>
      <c r="R196" s="373"/>
      <c r="S196" s="711" t="s">
        <v>726</v>
      </c>
      <c r="T196" s="745"/>
      <c r="U196" s="947" t="s">
        <v>848</v>
      </c>
      <c r="V196" s="740"/>
      <c r="W196" s="751"/>
      <c r="X196" s="48"/>
    </row>
    <row r="197" spans="1:24" s="29" customFormat="1" ht="25.5" customHeight="1" hidden="1">
      <c r="A197" s="234" t="s">
        <v>315</v>
      </c>
      <c r="B197" s="87" t="s">
        <v>316</v>
      </c>
      <c r="C197" s="284" t="s">
        <v>74</v>
      </c>
      <c r="D197" s="376"/>
      <c r="E197" s="99"/>
      <c r="F197" s="373"/>
      <c r="G197" s="394"/>
      <c r="H197" s="99"/>
      <c r="I197" s="121"/>
      <c r="J197" s="373"/>
      <c r="K197" s="327"/>
      <c r="L197" s="70"/>
      <c r="M197" s="70"/>
      <c r="N197" s="70"/>
      <c r="O197" s="769"/>
      <c r="P197" s="121"/>
      <c r="Q197" s="769"/>
      <c r="R197" s="373"/>
      <c r="S197" s="711"/>
      <c r="T197" s="745"/>
      <c r="U197" s="949"/>
      <c r="V197" s="740"/>
      <c r="W197" s="751"/>
      <c r="X197" s="48"/>
    </row>
    <row r="198" spans="1:24" s="29" customFormat="1" ht="24.75" customHeight="1" thickBot="1">
      <c r="A198" s="253"/>
      <c r="B198" s="62" t="s">
        <v>791</v>
      </c>
      <c r="C198" s="304"/>
      <c r="D198" s="365"/>
      <c r="E198" s="97"/>
      <c r="F198" s="341">
        <f>SUM(F196:F197)</f>
        <v>1000</v>
      </c>
      <c r="G198" s="670"/>
      <c r="H198" s="671">
        <f>SUM(H196:H197)</f>
        <v>500</v>
      </c>
      <c r="I198" s="671"/>
      <c r="J198" s="672">
        <f>SUM(J196:J197)</f>
        <v>500</v>
      </c>
      <c r="K198" s="683"/>
      <c r="L198" s="671">
        <f>SUM(L196:L197)</f>
        <v>1000</v>
      </c>
      <c r="M198" s="684"/>
      <c r="N198" s="671">
        <f>SUM(N196:N197)</f>
        <v>0</v>
      </c>
      <c r="O198" s="804"/>
      <c r="P198" s="671">
        <f>SUM(P196:P197)</f>
        <v>0</v>
      </c>
      <c r="Q198" s="804"/>
      <c r="R198" s="672">
        <f>SUM(R196:R197)</f>
        <v>0</v>
      </c>
      <c r="S198" s="709"/>
      <c r="T198" s="745"/>
      <c r="U198" s="710"/>
      <c r="V198" s="740"/>
      <c r="W198" s="751"/>
      <c r="X198" s="48"/>
    </row>
    <row r="199" spans="1:24" s="29" customFormat="1" ht="18.75" customHeight="1" thickBot="1">
      <c r="A199" s="271"/>
      <c r="B199" s="227" t="s">
        <v>198</v>
      </c>
      <c r="C199" s="306"/>
      <c r="D199" s="369"/>
      <c r="E199" s="266"/>
      <c r="F199" s="668">
        <f>F189+F198</f>
        <v>1000</v>
      </c>
      <c r="G199" s="673"/>
      <c r="H199" s="674">
        <f aca="true" t="shared" si="16" ref="H199:R199">H189+H198</f>
        <v>500</v>
      </c>
      <c r="I199" s="675"/>
      <c r="J199" s="681">
        <f t="shared" si="16"/>
        <v>500</v>
      </c>
      <c r="K199" s="685"/>
      <c r="L199" s="674">
        <f t="shared" si="16"/>
        <v>1000</v>
      </c>
      <c r="M199" s="674"/>
      <c r="N199" s="674">
        <f t="shared" si="16"/>
        <v>0</v>
      </c>
      <c r="O199" s="805"/>
      <c r="P199" s="674">
        <f t="shared" si="16"/>
        <v>0</v>
      </c>
      <c r="Q199" s="805"/>
      <c r="R199" s="676">
        <f t="shared" si="16"/>
        <v>0</v>
      </c>
      <c r="S199" s="717"/>
      <c r="T199" s="746"/>
      <c r="U199" s="715"/>
      <c r="V199" s="844"/>
      <c r="W199" s="756"/>
      <c r="X199" s="48"/>
    </row>
    <row r="200" spans="1:24" s="25" customFormat="1" ht="23.25" customHeight="1" thickBot="1">
      <c r="A200" s="258" t="s">
        <v>199</v>
      </c>
      <c r="B200" s="259"/>
      <c r="C200" s="295"/>
      <c r="D200" s="348"/>
      <c r="E200" s="260"/>
      <c r="F200" s="669">
        <f>F183+F176+F199</f>
        <v>5407.599999999999</v>
      </c>
      <c r="G200" s="677"/>
      <c r="H200" s="678">
        <f aca="true" t="shared" si="17" ref="H200:R200">H183+H176+H199</f>
        <v>2737.89</v>
      </c>
      <c r="I200" s="679"/>
      <c r="J200" s="682">
        <f t="shared" si="17"/>
        <v>2669.71</v>
      </c>
      <c r="K200" s="686"/>
      <c r="L200" s="678">
        <f t="shared" si="17"/>
        <v>2372.16</v>
      </c>
      <c r="M200" s="678"/>
      <c r="N200" s="678">
        <f t="shared" si="17"/>
        <v>0</v>
      </c>
      <c r="O200" s="806"/>
      <c r="P200" s="678">
        <f t="shared" si="17"/>
        <v>0</v>
      </c>
      <c r="Q200" s="806"/>
      <c r="R200" s="680">
        <f t="shared" si="17"/>
        <v>3035.4399999999996</v>
      </c>
      <c r="S200" s="721"/>
      <c r="T200" s="748"/>
      <c r="U200" s="735"/>
      <c r="V200" s="735"/>
      <c r="W200" s="749"/>
      <c r="X200" s="48"/>
    </row>
    <row r="201" spans="1:24" s="25" customFormat="1" ht="24" customHeight="1">
      <c r="A201" s="268" t="s">
        <v>200</v>
      </c>
      <c r="B201" s="269"/>
      <c r="C201" s="307"/>
      <c r="D201" s="370"/>
      <c r="E201" s="270"/>
      <c r="F201" s="371"/>
      <c r="G201" s="370"/>
      <c r="H201" s="270"/>
      <c r="I201" s="270"/>
      <c r="J201" s="371"/>
      <c r="K201" s="370"/>
      <c r="L201" s="270"/>
      <c r="M201" s="270"/>
      <c r="N201" s="270"/>
      <c r="O201" s="798"/>
      <c r="P201" s="270"/>
      <c r="Q201" s="798"/>
      <c r="R201" s="371"/>
      <c r="S201" s="737"/>
      <c r="T201" s="750"/>
      <c r="U201" s="727"/>
      <c r="V201" s="727"/>
      <c r="W201" s="757"/>
      <c r="X201" s="48"/>
    </row>
    <row r="202" spans="1:24" s="25" customFormat="1" ht="19.5" customHeight="1">
      <c r="A202" s="232" t="s">
        <v>263</v>
      </c>
      <c r="B202" s="83" t="s">
        <v>490</v>
      </c>
      <c r="C202" s="311"/>
      <c r="D202" s="357"/>
      <c r="E202" s="70"/>
      <c r="F202" s="317"/>
      <c r="G202" s="327"/>
      <c r="H202" s="70"/>
      <c r="I202" s="70"/>
      <c r="J202" s="317"/>
      <c r="K202" s="381"/>
      <c r="L202" s="113"/>
      <c r="M202" s="113"/>
      <c r="N202" s="113"/>
      <c r="O202" s="771"/>
      <c r="P202" s="113"/>
      <c r="Q202" s="771"/>
      <c r="R202" s="321"/>
      <c r="S202" s="709"/>
      <c r="T202" s="745"/>
      <c r="U202" s="710"/>
      <c r="V202" s="710"/>
      <c r="W202" s="716"/>
      <c r="X202" s="48"/>
    </row>
    <row r="203" spans="1:24" s="25" customFormat="1" ht="24" customHeight="1" hidden="1">
      <c r="A203" s="232" t="s">
        <v>264</v>
      </c>
      <c r="B203" s="62" t="s">
        <v>432</v>
      </c>
      <c r="C203" s="311"/>
      <c r="D203" s="357"/>
      <c r="E203" s="70"/>
      <c r="F203" s="317"/>
      <c r="G203" s="327"/>
      <c r="H203" s="70"/>
      <c r="I203" s="70"/>
      <c r="J203" s="317"/>
      <c r="K203" s="381"/>
      <c r="L203" s="113"/>
      <c r="M203" s="113"/>
      <c r="N203" s="113"/>
      <c r="O203" s="771"/>
      <c r="P203" s="113"/>
      <c r="Q203" s="771"/>
      <c r="R203" s="321"/>
      <c r="S203" s="709"/>
      <c r="T203" s="745"/>
      <c r="U203" s="710"/>
      <c r="V203" s="710"/>
      <c r="W203" s="716"/>
      <c r="X203" s="48"/>
    </row>
    <row r="204" spans="1:24" s="25" customFormat="1" ht="19.5" customHeight="1" hidden="1">
      <c r="A204" s="244"/>
      <c r="B204" s="62" t="s">
        <v>201</v>
      </c>
      <c r="C204" s="304"/>
      <c r="D204" s="365"/>
      <c r="E204" s="97"/>
      <c r="F204" s="341"/>
      <c r="G204" s="340"/>
      <c r="H204" s="81"/>
      <c r="I204" s="81"/>
      <c r="J204" s="341"/>
      <c r="K204" s="580"/>
      <c r="L204" s="81">
        <v>0</v>
      </c>
      <c r="M204" s="97"/>
      <c r="N204" s="81">
        <v>0</v>
      </c>
      <c r="O204" s="801"/>
      <c r="P204" s="81">
        <v>0</v>
      </c>
      <c r="Q204" s="801"/>
      <c r="R204" s="341">
        <v>0</v>
      </c>
      <c r="S204" s="709"/>
      <c r="T204" s="745"/>
      <c r="U204" s="710"/>
      <c r="V204" s="710"/>
      <c r="W204" s="742"/>
      <c r="X204" s="48"/>
    </row>
    <row r="205" spans="1:24" s="25" customFormat="1" ht="19.5" customHeight="1">
      <c r="A205" s="232" t="s">
        <v>794</v>
      </c>
      <c r="B205" s="62" t="s">
        <v>567</v>
      </c>
      <c r="C205" s="284"/>
      <c r="D205" s="361"/>
      <c r="E205" s="70"/>
      <c r="F205" s="329"/>
      <c r="G205" s="328"/>
      <c r="H205" s="71"/>
      <c r="I205" s="71"/>
      <c r="J205" s="329"/>
      <c r="K205" s="327"/>
      <c r="L205" s="71"/>
      <c r="M205" s="70"/>
      <c r="N205" s="71"/>
      <c r="O205" s="769"/>
      <c r="P205" s="71"/>
      <c r="Q205" s="769"/>
      <c r="R205" s="329"/>
      <c r="S205" s="709"/>
      <c r="T205" s="745"/>
      <c r="U205" s="710"/>
      <c r="V205" s="710"/>
      <c r="W205" s="742"/>
      <c r="X205" s="48"/>
    </row>
    <row r="206" spans="1:24" s="25" customFormat="1" ht="49.5" customHeight="1">
      <c r="A206" s="693" t="s">
        <v>795</v>
      </c>
      <c r="B206" s="689" t="s">
        <v>645</v>
      </c>
      <c r="C206" s="694" t="s">
        <v>536</v>
      </c>
      <c r="D206" s="564">
        <v>550</v>
      </c>
      <c r="E206" s="556">
        <v>1</v>
      </c>
      <c r="F206" s="568">
        <f>D206*E206</f>
        <v>550</v>
      </c>
      <c r="G206" s="327">
        <f>E206</f>
        <v>1</v>
      </c>
      <c r="H206" s="70">
        <f>F206</f>
        <v>550</v>
      </c>
      <c r="I206" s="70"/>
      <c r="J206" s="317"/>
      <c r="K206" s="327">
        <v>1</v>
      </c>
      <c r="L206" s="70">
        <f>F206</f>
        <v>550</v>
      </c>
      <c r="M206" s="70"/>
      <c r="N206" s="71"/>
      <c r="O206" s="769"/>
      <c r="P206" s="70"/>
      <c r="Q206" s="769"/>
      <c r="R206" s="329"/>
      <c r="S206" s="711" t="s">
        <v>726</v>
      </c>
      <c r="T206" s="745"/>
      <c r="U206" s="710" t="s">
        <v>837</v>
      </c>
      <c r="V206" s="710"/>
      <c r="W206" s="742"/>
      <c r="X206" s="48"/>
    </row>
    <row r="207" spans="1:24" s="25" customFormat="1" ht="19.5" customHeight="1">
      <c r="A207" s="244"/>
      <c r="B207" s="62" t="s">
        <v>796</v>
      </c>
      <c r="C207" s="304"/>
      <c r="D207" s="365"/>
      <c r="E207" s="97"/>
      <c r="F207" s="341">
        <f>SUM(F206)</f>
        <v>550</v>
      </c>
      <c r="G207" s="340"/>
      <c r="H207" s="81">
        <f>SUM(H206)</f>
        <v>550</v>
      </c>
      <c r="I207" s="81"/>
      <c r="J207" s="341">
        <f>SUM(J206)</f>
        <v>0</v>
      </c>
      <c r="K207" s="580"/>
      <c r="L207" s="81">
        <f>SUM(L206)</f>
        <v>550</v>
      </c>
      <c r="M207" s="97"/>
      <c r="N207" s="81">
        <f>SUM(N206)</f>
        <v>0</v>
      </c>
      <c r="O207" s="801"/>
      <c r="P207" s="81">
        <f>SUM(P206)</f>
        <v>0</v>
      </c>
      <c r="Q207" s="801"/>
      <c r="R207" s="341">
        <f>SUM(R206)</f>
        <v>0</v>
      </c>
      <c r="S207" s="709"/>
      <c r="T207" s="745"/>
      <c r="U207" s="710"/>
      <c r="V207" s="710"/>
      <c r="W207" s="742"/>
      <c r="X207" s="48"/>
    </row>
    <row r="208" spans="1:24" s="25" customFormat="1" ht="38.25" customHeight="1" hidden="1">
      <c r="A208" s="232" t="s">
        <v>1</v>
      </c>
      <c r="B208" s="62" t="s">
        <v>568</v>
      </c>
      <c r="C208" s="284"/>
      <c r="D208" s="361"/>
      <c r="E208" s="70"/>
      <c r="F208" s="329"/>
      <c r="G208" s="328"/>
      <c r="H208" s="71"/>
      <c r="I208" s="71"/>
      <c r="J208" s="329"/>
      <c r="K208" s="327"/>
      <c r="L208" s="71"/>
      <c r="M208" s="70"/>
      <c r="N208" s="71"/>
      <c r="O208" s="769"/>
      <c r="P208" s="71"/>
      <c r="Q208" s="769"/>
      <c r="R208" s="329"/>
      <c r="S208" s="709"/>
      <c r="T208" s="745"/>
      <c r="U208" s="710"/>
      <c r="V208" s="710"/>
      <c r="W208" s="742"/>
      <c r="X208" s="48"/>
    </row>
    <row r="209" spans="1:24" s="25" customFormat="1" ht="26.25" customHeight="1" hidden="1">
      <c r="A209" s="234"/>
      <c r="B209" s="122"/>
      <c r="C209" s="298"/>
      <c r="D209" s="361"/>
      <c r="E209" s="70"/>
      <c r="F209" s="317"/>
      <c r="G209" s="327"/>
      <c r="H209" s="70"/>
      <c r="I209" s="70"/>
      <c r="J209" s="317"/>
      <c r="K209" s="327"/>
      <c r="L209" s="70"/>
      <c r="M209" s="70"/>
      <c r="N209" s="71"/>
      <c r="O209" s="769"/>
      <c r="P209" s="70"/>
      <c r="Q209" s="769"/>
      <c r="R209" s="329"/>
      <c r="S209" s="711"/>
      <c r="T209" s="745"/>
      <c r="U209" s="710"/>
      <c r="V209" s="710"/>
      <c r="W209" s="742"/>
      <c r="X209" s="48"/>
    </row>
    <row r="210" spans="1:24" s="25" customFormat="1" ht="19.5" customHeight="1" hidden="1">
      <c r="A210" s="244"/>
      <c r="B210" s="62" t="s">
        <v>2</v>
      </c>
      <c r="C210" s="304"/>
      <c r="D210" s="365"/>
      <c r="E210" s="97"/>
      <c r="F210" s="341">
        <f>SUM(F209)</f>
        <v>0</v>
      </c>
      <c r="G210" s="340"/>
      <c r="H210" s="81">
        <f>SUM(H209)</f>
        <v>0</v>
      </c>
      <c r="I210" s="81"/>
      <c r="J210" s="341">
        <f>SUM(J209)</f>
        <v>0</v>
      </c>
      <c r="K210" s="580"/>
      <c r="L210" s="81">
        <f>SUM(L209)</f>
        <v>0</v>
      </c>
      <c r="M210" s="97"/>
      <c r="N210" s="81">
        <f>SUM(N209)</f>
        <v>0</v>
      </c>
      <c r="O210" s="801"/>
      <c r="P210" s="81">
        <f>SUM(P209)</f>
        <v>0</v>
      </c>
      <c r="Q210" s="801"/>
      <c r="R210" s="341">
        <f>SUM(R209)</f>
        <v>0</v>
      </c>
      <c r="S210" s="709"/>
      <c r="T210" s="745"/>
      <c r="U210" s="710"/>
      <c r="V210" s="710"/>
      <c r="W210" s="742"/>
      <c r="X210" s="48"/>
    </row>
    <row r="211" spans="1:24" s="25" customFormat="1" ht="17.25" customHeight="1" thickBot="1">
      <c r="A211" s="244"/>
      <c r="B211" s="83" t="s">
        <v>202</v>
      </c>
      <c r="C211" s="305"/>
      <c r="D211" s="368"/>
      <c r="E211" s="95"/>
      <c r="F211" s="343">
        <f>F204+F207+F210</f>
        <v>550</v>
      </c>
      <c r="G211" s="342"/>
      <c r="H211" s="84">
        <f>H204+H207+H210</f>
        <v>550</v>
      </c>
      <c r="I211" s="84"/>
      <c r="J211" s="343">
        <f>J204+J207+J210</f>
        <v>0</v>
      </c>
      <c r="K211" s="576"/>
      <c r="L211" s="84">
        <f>L204+L207+L210</f>
        <v>550</v>
      </c>
      <c r="M211" s="95"/>
      <c r="N211" s="84">
        <f>N204+N207+N210</f>
        <v>0</v>
      </c>
      <c r="O211" s="796"/>
      <c r="P211" s="84">
        <f>P204+P207+P210</f>
        <v>0</v>
      </c>
      <c r="Q211" s="796"/>
      <c r="R211" s="343">
        <f>R204+R207+R210</f>
        <v>0</v>
      </c>
      <c r="S211" s="709"/>
      <c r="T211" s="745"/>
      <c r="U211" s="710"/>
      <c r="V211" s="710"/>
      <c r="W211" s="742"/>
      <c r="X211" s="48"/>
    </row>
    <row r="212" spans="1:24" s="25" customFormat="1" ht="18.75" customHeight="1" hidden="1">
      <c r="A212" s="232" t="s">
        <v>265</v>
      </c>
      <c r="B212" s="83" t="s">
        <v>469</v>
      </c>
      <c r="C212" s="284"/>
      <c r="D212" s="361"/>
      <c r="E212" s="70"/>
      <c r="F212" s="329"/>
      <c r="G212" s="328"/>
      <c r="H212" s="71"/>
      <c r="I212" s="71"/>
      <c r="J212" s="329"/>
      <c r="K212" s="327"/>
      <c r="L212" s="71"/>
      <c r="M212" s="70"/>
      <c r="N212" s="71"/>
      <c r="O212" s="769"/>
      <c r="P212" s="71"/>
      <c r="Q212" s="769"/>
      <c r="R212" s="329"/>
      <c r="S212" s="709"/>
      <c r="T212" s="745"/>
      <c r="U212" s="710"/>
      <c r="V212" s="710"/>
      <c r="W212" s="742"/>
      <c r="X212" s="48"/>
    </row>
    <row r="213" spans="1:24" s="25" customFormat="1" ht="18.75" customHeight="1" hidden="1">
      <c r="A213" s="232"/>
      <c r="B213" s="69" t="s">
        <v>3</v>
      </c>
      <c r="C213" s="284"/>
      <c r="D213" s="361"/>
      <c r="E213" s="70"/>
      <c r="F213" s="329"/>
      <c r="G213" s="328"/>
      <c r="H213" s="71"/>
      <c r="I213" s="71"/>
      <c r="J213" s="329"/>
      <c r="K213" s="327"/>
      <c r="L213" s="71"/>
      <c r="M213" s="70"/>
      <c r="N213" s="71"/>
      <c r="O213" s="769"/>
      <c r="P213" s="71"/>
      <c r="Q213" s="769"/>
      <c r="R213" s="329"/>
      <c r="S213" s="709"/>
      <c r="T213" s="745"/>
      <c r="U213" s="710"/>
      <c r="V213" s="710"/>
      <c r="W213" s="742"/>
      <c r="X213" s="48"/>
    </row>
    <row r="214" spans="1:24" s="25" customFormat="1" ht="32.25" customHeight="1" hidden="1">
      <c r="A214" s="234" t="s">
        <v>266</v>
      </c>
      <c r="B214" s="100" t="s">
        <v>8</v>
      </c>
      <c r="C214" s="298" t="s">
        <v>536</v>
      </c>
      <c r="D214" s="361"/>
      <c r="E214" s="70"/>
      <c r="F214" s="317"/>
      <c r="G214" s="327"/>
      <c r="H214" s="70"/>
      <c r="I214" s="70"/>
      <c r="J214" s="317"/>
      <c r="K214" s="327"/>
      <c r="L214" s="70"/>
      <c r="M214" s="70"/>
      <c r="N214" s="70"/>
      <c r="O214" s="769"/>
      <c r="P214" s="70"/>
      <c r="Q214" s="769"/>
      <c r="R214" s="329"/>
      <c r="S214" s="711"/>
      <c r="T214" s="745"/>
      <c r="U214" s="947"/>
      <c r="V214" s="710"/>
      <c r="W214" s="742"/>
      <c r="X214" s="48"/>
    </row>
    <row r="215" spans="1:24" s="25" customFormat="1" ht="33" customHeight="1" hidden="1">
      <c r="A215" s="234" t="s">
        <v>4</v>
      </c>
      <c r="B215" s="100" t="s">
        <v>593</v>
      </c>
      <c r="C215" s="298" t="s">
        <v>536</v>
      </c>
      <c r="D215" s="361"/>
      <c r="E215" s="70"/>
      <c r="F215" s="317"/>
      <c r="G215" s="327"/>
      <c r="H215" s="70"/>
      <c r="I215" s="70"/>
      <c r="J215" s="317"/>
      <c r="K215" s="327"/>
      <c r="L215" s="70"/>
      <c r="M215" s="70"/>
      <c r="N215" s="70"/>
      <c r="O215" s="769"/>
      <c r="P215" s="70"/>
      <c r="Q215" s="769"/>
      <c r="R215" s="329"/>
      <c r="S215" s="711"/>
      <c r="T215" s="745"/>
      <c r="U215" s="948"/>
      <c r="V215" s="710"/>
      <c r="W215" s="742"/>
      <c r="X215" s="48"/>
    </row>
    <row r="216" spans="1:24" s="25" customFormat="1" ht="33.75" customHeight="1" hidden="1">
      <c r="A216" s="234" t="s">
        <v>5</v>
      </c>
      <c r="B216" s="100" t="s">
        <v>9</v>
      </c>
      <c r="C216" s="298" t="s">
        <v>536</v>
      </c>
      <c r="D216" s="361"/>
      <c r="E216" s="70"/>
      <c r="F216" s="317"/>
      <c r="G216" s="327"/>
      <c r="H216" s="70"/>
      <c r="I216" s="70"/>
      <c r="J216" s="317"/>
      <c r="K216" s="327"/>
      <c r="L216" s="70"/>
      <c r="M216" s="70"/>
      <c r="N216" s="70"/>
      <c r="O216" s="769"/>
      <c r="P216" s="70"/>
      <c r="Q216" s="769"/>
      <c r="R216" s="329"/>
      <c r="S216" s="711"/>
      <c r="T216" s="745"/>
      <c r="U216" s="948"/>
      <c r="V216" s="710"/>
      <c r="W216" s="742"/>
      <c r="X216" s="48"/>
    </row>
    <row r="217" spans="1:24" s="25" customFormat="1" ht="32.25" customHeight="1" hidden="1">
      <c r="A217" s="234" t="s">
        <v>6</v>
      </c>
      <c r="B217" s="100" t="s">
        <v>10</v>
      </c>
      <c r="C217" s="298" t="s">
        <v>536</v>
      </c>
      <c r="D217" s="361"/>
      <c r="E217" s="70"/>
      <c r="F217" s="317"/>
      <c r="G217" s="327"/>
      <c r="H217" s="70"/>
      <c r="I217" s="70"/>
      <c r="J217" s="317"/>
      <c r="K217" s="327"/>
      <c r="L217" s="70"/>
      <c r="M217" s="70"/>
      <c r="N217" s="70"/>
      <c r="O217" s="769"/>
      <c r="P217" s="70"/>
      <c r="Q217" s="769"/>
      <c r="R217" s="329"/>
      <c r="S217" s="711"/>
      <c r="T217" s="745"/>
      <c r="U217" s="948"/>
      <c r="V217" s="710"/>
      <c r="W217" s="742"/>
      <c r="X217" s="48"/>
    </row>
    <row r="218" spans="1:24" s="25" customFormat="1" ht="32.25" customHeight="1" hidden="1">
      <c r="A218" s="234" t="s">
        <v>7</v>
      </c>
      <c r="B218" s="100" t="s">
        <v>94</v>
      </c>
      <c r="C218" s="298" t="s">
        <v>536</v>
      </c>
      <c r="D218" s="361"/>
      <c r="E218" s="70"/>
      <c r="F218" s="317"/>
      <c r="G218" s="327"/>
      <c r="H218" s="70"/>
      <c r="I218" s="70"/>
      <c r="J218" s="317"/>
      <c r="K218" s="327"/>
      <c r="L218" s="70"/>
      <c r="M218" s="70"/>
      <c r="N218" s="70"/>
      <c r="O218" s="769"/>
      <c r="P218" s="70"/>
      <c r="Q218" s="769"/>
      <c r="R218" s="329"/>
      <c r="S218" s="711"/>
      <c r="T218" s="745"/>
      <c r="U218" s="949"/>
      <c r="V218" s="710"/>
      <c r="W218" s="742"/>
      <c r="X218" s="48"/>
    </row>
    <row r="219" spans="1:24" s="25" customFormat="1" ht="18" customHeight="1" hidden="1">
      <c r="A219" s="244"/>
      <c r="B219" s="83" t="s">
        <v>11</v>
      </c>
      <c r="C219" s="305"/>
      <c r="D219" s="368"/>
      <c r="E219" s="95"/>
      <c r="F219" s="343">
        <f>SUM(F214:F218)</f>
        <v>0</v>
      </c>
      <c r="G219" s="342"/>
      <c r="H219" s="84">
        <f>SUM(H214:H218)</f>
        <v>0</v>
      </c>
      <c r="I219" s="84"/>
      <c r="J219" s="343">
        <f>SUM(J214:J218)</f>
        <v>0</v>
      </c>
      <c r="K219" s="576"/>
      <c r="L219" s="84">
        <f>SUM(L214:L218)</f>
        <v>0</v>
      </c>
      <c r="M219" s="95"/>
      <c r="N219" s="84">
        <f>SUM(N214:N218)</f>
        <v>0</v>
      </c>
      <c r="O219" s="796"/>
      <c r="P219" s="84">
        <f>SUM(P214:P218)</f>
        <v>0</v>
      </c>
      <c r="Q219" s="796"/>
      <c r="R219" s="343">
        <f>SUM(R214:R218)</f>
        <v>0</v>
      </c>
      <c r="S219" s="709"/>
      <c r="T219" s="745"/>
      <c r="U219" s="710"/>
      <c r="V219" s="710"/>
      <c r="W219" s="742"/>
      <c r="X219" s="48"/>
    </row>
    <row r="220" spans="1:24" s="25" customFormat="1" ht="17.25" customHeight="1" hidden="1">
      <c r="A220" s="232" t="s">
        <v>12</v>
      </c>
      <c r="B220" s="83" t="s">
        <v>462</v>
      </c>
      <c r="C220" s="284"/>
      <c r="D220" s="361"/>
      <c r="E220" s="70"/>
      <c r="F220" s="329"/>
      <c r="G220" s="328"/>
      <c r="H220" s="71"/>
      <c r="I220" s="71"/>
      <c r="J220" s="329"/>
      <c r="K220" s="327"/>
      <c r="L220" s="71"/>
      <c r="M220" s="70"/>
      <c r="N220" s="71"/>
      <c r="O220" s="769"/>
      <c r="P220" s="71"/>
      <c r="Q220" s="769"/>
      <c r="R220" s="329"/>
      <c r="S220" s="709"/>
      <c r="T220" s="745"/>
      <c r="U220" s="710"/>
      <c r="V220" s="710"/>
      <c r="W220" s="742"/>
      <c r="X220" s="48"/>
    </row>
    <row r="221" spans="1:24" s="25" customFormat="1" ht="16.5" hidden="1" thickBot="1">
      <c r="A221" s="221" t="s">
        <v>317</v>
      </c>
      <c r="B221" s="69" t="s">
        <v>646</v>
      </c>
      <c r="C221" s="228" t="s">
        <v>536</v>
      </c>
      <c r="D221" s="361"/>
      <c r="E221" s="70"/>
      <c r="F221" s="317"/>
      <c r="G221" s="327"/>
      <c r="H221" s="70"/>
      <c r="I221" s="70"/>
      <c r="J221" s="317"/>
      <c r="K221" s="327"/>
      <c r="L221" s="70"/>
      <c r="M221" s="70"/>
      <c r="N221" s="70"/>
      <c r="O221" s="769"/>
      <c r="P221" s="70"/>
      <c r="Q221" s="769"/>
      <c r="R221" s="317"/>
      <c r="S221" s="711"/>
      <c r="T221" s="745"/>
      <c r="U221" s="947"/>
      <c r="V221" s="710"/>
      <c r="W221" s="742"/>
      <c r="X221" s="48"/>
    </row>
    <row r="222" spans="1:24" s="25" customFormat="1" ht="16.5" hidden="1" thickBot="1">
      <c r="A222" s="221" t="s">
        <v>494</v>
      </c>
      <c r="B222" s="69" t="s">
        <v>647</v>
      </c>
      <c r="C222" s="228" t="s">
        <v>536</v>
      </c>
      <c r="D222" s="361"/>
      <c r="E222" s="70"/>
      <c r="F222" s="317"/>
      <c r="G222" s="327"/>
      <c r="H222" s="70"/>
      <c r="I222" s="70"/>
      <c r="J222" s="317"/>
      <c r="K222" s="327"/>
      <c r="L222" s="70"/>
      <c r="M222" s="70"/>
      <c r="N222" s="70"/>
      <c r="O222" s="769"/>
      <c r="P222" s="70"/>
      <c r="Q222" s="769"/>
      <c r="R222" s="317"/>
      <c r="S222" s="711"/>
      <c r="T222" s="745"/>
      <c r="U222" s="948"/>
      <c r="V222" s="710"/>
      <c r="W222" s="742"/>
      <c r="X222" s="48"/>
    </row>
    <row r="223" spans="1:24" s="25" customFormat="1" ht="16.5" hidden="1" thickBot="1">
      <c r="A223" s="221" t="s">
        <v>495</v>
      </c>
      <c r="B223" s="69" t="s">
        <v>648</v>
      </c>
      <c r="C223" s="228" t="s">
        <v>536</v>
      </c>
      <c r="D223" s="361"/>
      <c r="E223" s="70"/>
      <c r="F223" s="317"/>
      <c r="G223" s="327"/>
      <c r="H223" s="70"/>
      <c r="I223" s="70"/>
      <c r="J223" s="317"/>
      <c r="K223" s="327"/>
      <c r="L223" s="70"/>
      <c r="M223" s="70"/>
      <c r="N223" s="70"/>
      <c r="O223" s="769"/>
      <c r="P223" s="70"/>
      <c r="Q223" s="769"/>
      <c r="R223" s="317"/>
      <c r="S223" s="711"/>
      <c r="T223" s="745"/>
      <c r="U223" s="948"/>
      <c r="V223" s="710"/>
      <c r="W223" s="742"/>
      <c r="X223" s="48"/>
    </row>
    <row r="224" spans="1:24" s="25" customFormat="1" ht="16.5" hidden="1" thickBot="1">
      <c r="A224" s="221" t="s">
        <v>496</v>
      </c>
      <c r="B224" s="69" t="s">
        <v>649</v>
      </c>
      <c r="C224" s="228" t="s">
        <v>536</v>
      </c>
      <c r="D224" s="361"/>
      <c r="E224" s="70"/>
      <c r="F224" s="317"/>
      <c r="G224" s="327"/>
      <c r="H224" s="70"/>
      <c r="I224" s="70"/>
      <c r="J224" s="317"/>
      <c r="K224" s="327"/>
      <c r="L224" s="70"/>
      <c r="M224" s="70"/>
      <c r="N224" s="70"/>
      <c r="O224" s="769"/>
      <c r="P224" s="70"/>
      <c r="Q224" s="769"/>
      <c r="R224" s="317"/>
      <c r="S224" s="711"/>
      <c r="T224" s="745"/>
      <c r="U224" s="949"/>
      <c r="V224" s="710"/>
      <c r="W224" s="742"/>
      <c r="X224" s="48"/>
    </row>
    <row r="225" spans="1:24" s="25" customFormat="1" ht="17.25" customHeight="1" hidden="1" thickBot="1">
      <c r="A225" s="265"/>
      <c r="B225" s="227" t="s">
        <v>13</v>
      </c>
      <c r="C225" s="306"/>
      <c r="D225" s="369"/>
      <c r="E225" s="266"/>
      <c r="F225" s="347">
        <f>SUM(F221:F224)</f>
        <v>0</v>
      </c>
      <c r="G225" s="386"/>
      <c r="H225" s="267">
        <f>SUM(H221:H224)</f>
        <v>0</v>
      </c>
      <c r="I225" s="267"/>
      <c r="J225" s="347">
        <f>SUM(J221:J224)</f>
        <v>0</v>
      </c>
      <c r="K225" s="579"/>
      <c r="L225" s="267">
        <f>SUM(L221:L224)</f>
        <v>0</v>
      </c>
      <c r="M225" s="266"/>
      <c r="N225" s="267">
        <f>SUM(N221:N224)</f>
        <v>0</v>
      </c>
      <c r="O225" s="797"/>
      <c r="P225" s="267">
        <f>SUM(P221:P224)</f>
        <v>0</v>
      </c>
      <c r="Q225" s="797"/>
      <c r="R225" s="347">
        <f>SUM(R221:R224)</f>
        <v>0</v>
      </c>
      <c r="S225" s="717"/>
      <c r="T225" s="746"/>
      <c r="U225" s="715"/>
      <c r="V225" s="715"/>
      <c r="W225" s="758"/>
      <c r="X225" s="48"/>
    </row>
    <row r="226" spans="1:24" s="25" customFormat="1" ht="21" customHeight="1" thickBot="1">
      <c r="A226" s="258" t="s">
        <v>209</v>
      </c>
      <c r="B226" s="259"/>
      <c r="C226" s="295"/>
      <c r="D226" s="348"/>
      <c r="E226" s="260"/>
      <c r="F226" s="261">
        <f>F211+F219+F225</f>
        <v>550</v>
      </c>
      <c r="G226" s="387"/>
      <c r="H226" s="261">
        <f>H211+H219+H225</f>
        <v>550</v>
      </c>
      <c r="I226" s="261"/>
      <c r="J226" s="349">
        <f>J211+J219+J225</f>
        <v>0</v>
      </c>
      <c r="K226" s="348"/>
      <c r="L226" s="261">
        <f>L211+L219+L225</f>
        <v>550</v>
      </c>
      <c r="M226" s="260"/>
      <c r="N226" s="261">
        <f>N211+N219+N225</f>
        <v>0</v>
      </c>
      <c r="O226" s="781"/>
      <c r="P226" s="261">
        <f>P211+P219+P225</f>
        <v>0</v>
      </c>
      <c r="Q226" s="781"/>
      <c r="R226" s="349">
        <f>R211+R219+R225</f>
        <v>0</v>
      </c>
      <c r="S226" s="759"/>
      <c r="T226" s="748"/>
      <c r="U226" s="735"/>
      <c r="V226" s="735"/>
      <c r="W226" s="749"/>
      <c r="X226" s="48"/>
    </row>
    <row r="227" spans="1:24" ht="19.5" customHeight="1">
      <c r="A227" s="268" t="s">
        <v>203</v>
      </c>
      <c r="B227" s="269"/>
      <c r="C227" s="307"/>
      <c r="D227" s="370"/>
      <c r="E227" s="270"/>
      <c r="F227" s="371"/>
      <c r="G227" s="370"/>
      <c r="H227" s="270"/>
      <c r="I227" s="270"/>
      <c r="J227" s="371"/>
      <c r="K227" s="370"/>
      <c r="L227" s="270"/>
      <c r="M227" s="270"/>
      <c r="N227" s="270"/>
      <c r="O227" s="798"/>
      <c r="P227" s="270"/>
      <c r="Q227" s="798"/>
      <c r="R227" s="371"/>
      <c r="S227" s="760"/>
      <c r="T227" s="750"/>
      <c r="U227" s="727"/>
      <c r="V227" s="761"/>
      <c r="W227" s="762"/>
      <c r="X227" s="48"/>
    </row>
    <row r="228" spans="1:24" ht="52.5" customHeight="1">
      <c r="A228" s="693" t="s">
        <v>450</v>
      </c>
      <c r="B228" s="641" t="s">
        <v>838</v>
      </c>
      <c r="C228" s="692" t="s">
        <v>536</v>
      </c>
      <c r="D228" s="564">
        <f>1080</f>
        <v>1080</v>
      </c>
      <c r="E228" s="556">
        <v>1</v>
      </c>
      <c r="F228" s="568">
        <f>E228*D228</f>
        <v>1080</v>
      </c>
      <c r="G228" s="327">
        <f>E228</f>
        <v>1</v>
      </c>
      <c r="H228" s="70">
        <f>F228</f>
        <v>1080</v>
      </c>
      <c r="I228" s="70"/>
      <c r="J228" s="317"/>
      <c r="K228" s="577"/>
      <c r="L228" s="607"/>
      <c r="M228" s="607"/>
      <c r="N228" s="607"/>
      <c r="O228" s="807"/>
      <c r="P228" s="607"/>
      <c r="Q228" s="807">
        <f>E228</f>
        <v>1</v>
      </c>
      <c r="R228" s="621">
        <f>F228</f>
        <v>1080</v>
      </c>
      <c r="S228" s="711" t="s">
        <v>726</v>
      </c>
      <c r="T228" s="743"/>
      <c r="U228" s="710" t="s">
        <v>849</v>
      </c>
      <c r="V228" s="710" t="s">
        <v>824</v>
      </c>
      <c r="W228" s="707"/>
      <c r="X228" s="48"/>
    </row>
    <row r="229" spans="1:24" s="26" customFormat="1" ht="39.75" customHeight="1" hidden="1">
      <c r="A229" s="693" t="s">
        <v>451</v>
      </c>
      <c r="B229" s="641" t="s">
        <v>653</v>
      </c>
      <c r="C229" s="692" t="s">
        <v>536</v>
      </c>
      <c r="D229" s="564"/>
      <c r="E229" s="556"/>
      <c r="F229" s="568"/>
      <c r="G229" s="327">
        <f aca="true" t="shared" si="18" ref="G229:G234">E229</f>
        <v>0</v>
      </c>
      <c r="H229" s="70">
        <f aca="true" t="shared" si="19" ref="H229:H234">F229</f>
        <v>0</v>
      </c>
      <c r="I229" s="70"/>
      <c r="J229" s="317"/>
      <c r="K229" s="577"/>
      <c r="L229" s="607"/>
      <c r="M229" s="607"/>
      <c r="N229" s="607"/>
      <c r="O229" s="800"/>
      <c r="P229" s="113"/>
      <c r="Q229" s="800">
        <f>E229</f>
        <v>0</v>
      </c>
      <c r="R229" s="621">
        <f>F229</f>
        <v>0</v>
      </c>
      <c r="S229" s="711" t="s">
        <v>726</v>
      </c>
      <c r="T229" s="730"/>
      <c r="U229" s="710"/>
      <c r="V229" s="710"/>
      <c r="W229" s="716"/>
      <c r="X229" s="48"/>
    </row>
    <row r="230" spans="1:24" s="26" customFormat="1" ht="36.75" customHeight="1" hidden="1">
      <c r="A230" s="693" t="s">
        <v>204</v>
      </c>
      <c r="B230" s="641" t="s">
        <v>701</v>
      </c>
      <c r="C230" s="692" t="s">
        <v>536</v>
      </c>
      <c r="D230" s="695"/>
      <c r="E230" s="556"/>
      <c r="F230" s="557"/>
      <c r="G230" s="327">
        <f t="shared" si="18"/>
        <v>0</v>
      </c>
      <c r="H230" s="70">
        <f t="shared" si="19"/>
        <v>0</v>
      </c>
      <c r="I230" s="70"/>
      <c r="J230" s="317"/>
      <c r="K230" s="577"/>
      <c r="L230" s="607"/>
      <c r="M230" s="608"/>
      <c r="N230" s="113"/>
      <c r="O230" s="800"/>
      <c r="P230" s="113"/>
      <c r="Q230" s="800"/>
      <c r="R230" s="621"/>
      <c r="S230" s="711" t="s">
        <v>726</v>
      </c>
      <c r="T230" s="706"/>
      <c r="U230" s="947" t="s">
        <v>850</v>
      </c>
      <c r="V230" s="710"/>
      <c r="W230" s="716"/>
      <c r="X230" s="48"/>
    </row>
    <row r="231" spans="1:24" s="26" customFormat="1" ht="36.75" customHeight="1" hidden="1">
      <c r="A231" s="693" t="s">
        <v>583</v>
      </c>
      <c r="B231" s="641" t="s">
        <v>654</v>
      </c>
      <c r="C231" s="692" t="s">
        <v>536</v>
      </c>
      <c r="D231" s="695"/>
      <c r="E231" s="556"/>
      <c r="F231" s="557"/>
      <c r="G231" s="327">
        <f t="shared" si="18"/>
        <v>0</v>
      </c>
      <c r="H231" s="70">
        <f t="shared" si="19"/>
        <v>0</v>
      </c>
      <c r="I231" s="70"/>
      <c r="J231" s="317"/>
      <c r="K231" s="577"/>
      <c r="L231" s="607"/>
      <c r="M231" s="608"/>
      <c r="N231" s="113"/>
      <c r="O231" s="800"/>
      <c r="P231" s="113"/>
      <c r="Q231" s="800"/>
      <c r="R231" s="621"/>
      <c r="S231" s="711" t="s">
        <v>726</v>
      </c>
      <c r="T231" s="706"/>
      <c r="U231" s="948"/>
      <c r="V231" s="710"/>
      <c r="W231" s="716"/>
      <c r="X231" s="48"/>
    </row>
    <row r="232" spans="1:24" s="26" customFormat="1" ht="36.75" customHeight="1" hidden="1">
      <c r="A232" s="693" t="s">
        <v>655</v>
      </c>
      <c r="B232" s="641" t="s">
        <v>664</v>
      </c>
      <c r="C232" s="692" t="s">
        <v>536</v>
      </c>
      <c r="D232" s="695"/>
      <c r="E232" s="556"/>
      <c r="F232" s="557"/>
      <c r="G232" s="327">
        <f t="shared" si="18"/>
        <v>0</v>
      </c>
      <c r="H232" s="70">
        <f t="shared" si="19"/>
        <v>0</v>
      </c>
      <c r="I232" s="70"/>
      <c r="J232" s="317"/>
      <c r="K232" s="577"/>
      <c r="L232" s="607"/>
      <c r="M232" s="608"/>
      <c r="N232" s="113"/>
      <c r="O232" s="800"/>
      <c r="P232" s="113"/>
      <c r="Q232" s="800"/>
      <c r="R232" s="621"/>
      <c r="S232" s="711" t="s">
        <v>726</v>
      </c>
      <c r="T232" s="706"/>
      <c r="U232" s="948"/>
      <c r="V232" s="710"/>
      <c r="W232" s="716"/>
      <c r="X232" s="48"/>
    </row>
    <row r="233" spans="1:24" s="26" customFormat="1" ht="36.75" customHeight="1" hidden="1">
      <c r="A233" s="693" t="s">
        <v>656</v>
      </c>
      <c r="B233" s="641" t="s">
        <v>665</v>
      </c>
      <c r="C233" s="692" t="s">
        <v>536</v>
      </c>
      <c r="D233" s="695"/>
      <c r="E233" s="556"/>
      <c r="F233" s="557"/>
      <c r="G233" s="327">
        <f t="shared" si="18"/>
        <v>0</v>
      </c>
      <c r="H233" s="70">
        <f t="shared" si="19"/>
        <v>0</v>
      </c>
      <c r="I233" s="70"/>
      <c r="J233" s="317"/>
      <c r="K233" s="577"/>
      <c r="L233" s="607"/>
      <c r="M233" s="608"/>
      <c r="N233" s="113"/>
      <c r="O233" s="800"/>
      <c r="P233" s="113"/>
      <c r="Q233" s="800"/>
      <c r="R233" s="621"/>
      <c r="S233" s="711" t="s">
        <v>726</v>
      </c>
      <c r="T233" s="706"/>
      <c r="U233" s="948"/>
      <c r="V233" s="710"/>
      <c r="W233" s="716"/>
      <c r="X233" s="48"/>
    </row>
    <row r="234" spans="1:24" s="26" customFormat="1" ht="48.75" customHeight="1">
      <c r="A234" s="693" t="s">
        <v>732</v>
      </c>
      <c r="B234" s="641" t="s">
        <v>734</v>
      </c>
      <c r="C234" s="692" t="s">
        <v>536</v>
      </c>
      <c r="D234" s="695">
        <f>272.28+1.16</f>
        <v>273.44</v>
      </c>
      <c r="E234" s="556">
        <v>2</v>
      </c>
      <c r="F234" s="557">
        <f>D234*E234</f>
        <v>546.88</v>
      </c>
      <c r="G234" s="327">
        <f t="shared" si="18"/>
        <v>2</v>
      </c>
      <c r="H234" s="70">
        <f t="shared" si="19"/>
        <v>546.88</v>
      </c>
      <c r="I234" s="70"/>
      <c r="J234" s="317"/>
      <c r="K234" s="577"/>
      <c r="L234" s="607"/>
      <c r="M234" s="608"/>
      <c r="N234" s="113"/>
      <c r="O234" s="800"/>
      <c r="P234" s="113"/>
      <c r="Q234" s="800">
        <f>E234</f>
        <v>2</v>
      </c>
      <c r="R234" s="608">
        <f>F234</f>
        <v>546.88</v>
      </c>
      <c r="S234" s="711" t="s">
        <v>726</v>
      </c>
      <c r="T234" s="706"/>
      <c r="U234" s="948"/>
      <c r="V234" s="710" t="s">
        <v>826</v>
      </c>
      <c r="W234" s="716"/>
      <c r="X234" s="48"/>
    </row>
    <row r="235" spans="1:24" s="26" customFormat="1" ht="54.75" customHeight="1" thickBot="1">
      <c r="A235" s="693" t="s">
        <v>733</v>
      </c>
      <c r="B235" s="641" t="s">
        <v>729</v>
      </c>
      <c r="C235" s="692" t="s">
        <v>536</v>
      </c>
      <c r="D235" s="564">
        <v>592</v>
      </c>
      <c r="E235" s="556">
        <v>1</v>
      </c>
      <c r="F235" s="557">
        <f>D235*E235</f>
        <v>592</v>
      </c>
      <c r="G235" s="327">
        <f>E235</f>
        <v>1</v>
      </c>
      <c r="H235" s="70">
        <f>F235</f>
        <v>592</v>
      </c>
      <c r="I235" s="70"/>
      <c r="J235" s="317"/>
      <c r="K235" s="577"/>
      <c r="L235" s="607"/>
      <c r="M235" s="608"/>
      <c r="N235" s="113"/>
      <c r="O235" s="800"/>
      <c r="P235" s="113"/>
      <c r="Q235" s="807">
        <f>E235</f>
        <v>1</v>
      </c>
      <c r="R235" s="621">
        <f>F235</f>
        <v>592</v>
      </c>
      <c r="S235" s="711" t="s">
        <v>726</v>
      </c>
      <c r="T235" s="706"/>
      <c r="U235" s="949"/>
      <c r="V235" s="710" t="s">
        <v>825</v>
      </c>
      <c r="W235" s="716"/>
      <c r="X235" s="48"/>
    </row>
    <row r="236" spans="1:24" s="26" customFormat="1" ht="16.5" hidden="1" thickBot="1">
      <c r="A236" s="234" t="s">
        <v>657</v>
      </c>
      <c r="B236" s="220" t="s">
        <v>699</v>
      </c>
      <c r="C236" s="284" t="s">
        <v>536</v>
      </c>
      <c r="D236" s="357"/>
      <c r="E236" s="70"/>
      <c r="F236" s="317"/>
      <c r="G236" s="327"/>
      <c r="H236" s="70"/>
      <c r="I236" s="70"/>
      <c r="J236" s="317"/>
      <c r="K236" s="577"/>
      <c r="L236" s="607"/>
      <c r="M236" s="609"/>
      <c r="N236" s="610"/>
      <c r="O236" s="808"/>
      <c r="P236" s="610"/>
      <c r="Q236" s="808"/>
      <c r="R236" s="622"/>
      <c r="S236" s="711"/>
      <c r="T236" s="719"/>
      <c r="U236" s="715"/>
      <c r="V236" s="715"/>
      <c r="W236" s="747"/>
      <c r="X236" s="48"/>
    </row>
    <row r="237" spans="1:24" s="26" customFormat="1" ht="36" customHeight="1" hidden="1" thickBot="1">
      <c r="A237" s="234" t="s">
        <v>698</v>
      </c>
      <c r="B237" s="220" t="s">
        <v>658</v>
      </c>
      <c r="C237" s="312" t="s">
        <v>536</v>
      </c>
      <c r="D237" s="377"/>
      <c r="E237" s="262"/>
      <c r="F237" s="317"/>
      <c r="G237" s="395"/>
      <c r="H237" s="262"/>
      <c r="I237" s="262"/>
      <c r="J237" s="378"/>
      <c r="K237" s="577"/>
      <c r="L237" s="607"/>
      <c r="M237" s="609"/>
      <c r="N237" s="610"/>
      <c r="O237" s="808"/>
      <c r="P237" s="610"/>
      <c r="Q237" s="808"/>
      <c r="R237" s="622"/>
      <c r="S237" s="763"/>
      <c r="T237" s="719"/>
      <c r="U237" s="715"/>
      <c r="V237" s="715"/>
      <c r="W237" s="747"/>
      <c r="X237" s="48"/>
    </row>
    <row r="238" spans="1:24" s="26" customFormat="1" ht="20.25" customHeight="1" thickBot="1">
      <c r="A238" s="258" t="s">
        <v>210</v>
      </c>
      <c r="B238" s="259"/>
      <c r="C238" s="313"/>
      <c r="D238" s="348"/>
      <c r="E238" s="260"/>
      <c r="F238" s="349">
        <f>SUM(F228:F237)</f>
        <v>2218.88</v>
      </c>
      <c r="G238" s="387"/>
      <c r="H238" s="261">
        <f>SUM(H228:H237)</f>
        <v>2218.88</v>
      </c>
      <c r="I238" s="261"/>
      <c r="J238" s="349">
        <f>SUM(J228:J237)</f>
        <v>0</v>
      </c>
      <c r="K238" s="348"/>
      <c r="L238" s="261">
        <f>SUM(L228:L237)</f>
        <v>0</v>
      </c>
      <c r="M238" s="260"/>
      <c r="N238" s="261">
        <f>SUM(N228:N230)</f>
        <v>0</v>
      </c>
      <c r="O238" s="781"/>
      <c r="P238" s="261">
        <f>SUM(P228:P230)</f>
        <v>0</v>
      </c>
      <c r="Q238" s="781"/>
      <c r="R238" s="349">
        <f>SUM(R228:R235)</f>
        <v>2218.88</v>
      </c>
      <c r="S238" s="721"/>
      <c r="T238" s="734"/>
      <c r="U238" s="735"/>
      <c r="V238" s="735"/>
      <c r="W238" s="749"/>
      <c r="X238" s="48"/>
    </row>
    <row r="239" spans="1:24" s="26" customFormat="1" ht="18" customHeight="1">
      <c r="A239" s="944" t="s">
        <v>205</v>
      </c>
      <c r="B239" s="945"/>
      <c r="C239" s="302"/>
      <c r="D239" s="359"/>
      <c r="E239" s="264"/>
      <c r="F239" s="360"/>
      <c r="G239" s="359"/>
      <c r="H239" s="264"/>
      <c r="I239" s="264"/>
      <c r="J239" s="360"/>
      <c r="K239" s="359"/>
      <c r="L239" s="264"/>
      <c r="M239" s="264"/>
      <c r="N239" s="264"/>
      <c r="O239" s="809"/>
      <c r="P239" s="264"/>
      <c r="Q239" s="809"/>
      <c r="R239" s="360"/>
      <c r="S239" s="737"/>
      <c r="T239" s="738"/>
      <c r="U239" s="727"/>
      <c r="V239" s="727"/>
      <c r="W239" s="757"/>
      <c r="X239" s="48"/>
    </row>
    <row r="240" spans="1:24" s="24" customFormat="1" ht="15.75" hidden="1">
      <c r="A240" s="254" t="s">
        <v>51</v>
      </c>
      <c r="B240" s="94" t="s">
        <v>24</v>
      </c>
      <c r="C240" s="284" t="s">
        <v>536</v>
      </c>
      <c r="D240" s="357"/>
      <c r="E240" s="70"/>
      <c r="F240" s="224"/>
      <c r="G240" s="327"/>
      <c r="H240" s="70"/>
      <c r="I240" s="85"/>
      <c r="J240" s="224"/>
      <c r="K240" s="581"/>
      <c r="L240" s="113"/>
      <c r="M240" s="608"/>
      <c r="N240" s="113"/>
      <c r="O240" s="771"/>
      <c r="P240" s="113"/>
      <c r="Q240" s="800"/>
      <c r="R240" s="321"/>
      <c r="S240" s="763"/>
      <c r="T240" s="706"/>
      <c r="U240" s="947"/>
      <c r="V240" s="706"/>
      <c r="W240" s="707"/>
      <c r="X240" s="48"/>
    </row>
    <row r="241" spans="1:24" s="24" customFormat="1" ht="15.75" hidden="1">
      <c r="A241" s="254" t="s">
        <v>52</v>
      </c>
      <c r="B241" s="94" t="s">
        <v>25</v>
      </c>
      <c r="C241" s="284" t="s">
        <v>536</v>
      </c>
      <c r="D241" s="357"/>
      <c r="E241" s="70"/>
      <c r="F241" s="224"/>
      <c r="G241" s="327"/>
      <c r="H241" s="70"/>
      <c r="I241" s="85"/>
      <c r="J241" s="224"/>
      <c r="K241" s="581"/>
      <c r="L241" s="113"/>
      <c r="M241" s="608"/>
      <c r="N241" s="113"/>
      <c r="O241" s="771"/>
      <c r="P241" s="113"/>
      <c r="Q241" s="800"/>
      <c r="R241" s="321"/>
      <c r="S241" s="763"/>
      <c r="T241" s="706"/>
      <c r="U241" s="949"/>
      <c r="V241" s="706"/>
      <c r="W241" s="707"/>
      <c r="X241" s="48"/>
    </row>
    <row r="242" spans="1:24" s="24" customFormat="1" ht="15.75" hidden="1">
      <c r="A242" s="254" t="s">
        <v>14</v>
      </c>
      <c r="B242" s="96" t="s">
        <v>26</v>
      </c>
      <c r="C242" s="284" t="s">
        <v>536</v>
      </c>
      <c r="D242" s="357"/>
      <c r="E242" s="70"/>
      <c r="F242" s="224"/>
      <c r="G242" s="327"/>
      <c r="H242" s="70"/>
      <c r="I242" s="85"/>
      <c r="J242" s="224"/>
      <c r="K242" s="581"/>
      <c r="L242" s="113"/>
      <c r="M242" s="608"/>
      <c r="N242" s="113"/>
      <c r="O242" s="771"/>
      <c r="P242" s="113"/>
      <c r="Q242" s="800"/>
      <c r="R242" s="321"/>
      <c r="S242" s="763"/>
      <c r="T242" s="706"/>
      <c r="U242" s="947"/>
      <c r="V242" s="706"/>
      <c r="W242" s="707"/>
      <c r="X242" s="48"/>
    </row>
    <row r="243" spans="1:24" s="24" customFormat="1" ht="31.5" hidden="1">
      <c r="A243" s="254" t="s">
        <v>15</v>
      </c>
      <c r="B243" s="94" t="s">
        <v>27</v>
      </c>
      <c r="C243" s="284" t="s">
        <v>536</v>
      </c>
      <c r="D243" s="357"/>
      <c r="E243" s="70"/>
      <c r="F243" s="224"/>
      <c r="G243" s="327"/>
      <c r="H243" s="70"/>
      <c r="I243" s="85"/>
      <c r="J243" s="224"/>
      <c r="K243" s="581"/>
      <c r="L243" s="113"/>
      <c r="M243" s="608"/>
      <c r="N243" s="113"/>
      <c r="O243" s="771"/>
      <c r="P243" s="113"/>
      <c r="Q243" s="800"/>
      <c r="R243" s="321"/>
      <c r="S243" s="763"/>
      <c r="T243" s="706"/>
      <c r="U243" s="949"/>
      <c r="V243" s="706"/>
      <c r="W243" s="707"/>
      <c r="X243" s="48"/>
    </row>
    <row r="244" spans="1:24" s="24" customFormat="1" ht="15.75" hidden="1">
      <c r="A244" s="254" t="s">
        <v>16</v>
      </c>
      <c r="B244" s="94" t="s">
        <v>364</v>
      </c>
      <c r="C244" s="284" t="s">
        <v>536</v>
      </c>
      <c r="D244" s="357"/>
      <c r="E244" s="70"/>
      <c r="F244" s="224"/>
      <c r="G244" s="327"/>
      <c r="H244" s="70"/>
      <c r="I244" s="85"/>
      <c r="J244" s="224"/>
      <c r="K244" s="581"/>
      <c r="L244" s="113"/>
      <c r="M244" s="608"/>
      <c r="N244" s="113"/>
      <c r="O244" s="771"/>
      <c r="P244" s="113"/>
      <c r="Q244" s="800"/>
      <c r="R244" s="321"/>
      <c r="S244" s="763"/>
      <c r="T244" s="706"/>
      <c r="U244" s="947"/>
      <c r="V244" s="706"/>
      <c r="W244" s="707"/>
      <c r="X244" s="48"/>
    </row>
    <row r="245" spans="1:24" s="24" customFormat="1" ht="15.75" hidden="1">
      <c r="A245" s="254" t="s">
        <v>17</v>
      </c>
      <c r="B245" s="94" t="s">
        <v>422</v>
      </c>
      <c r="C245" s="284" t="s">
        <v>536</v>
      </c>
      <c r="D245" s="357"/>
      <c r="E245" s="70"/>
      <c r="F245" s="224"/>
      <c r="G245" s="327"/>
      <c r="H245" s="70"/>
      <c r="I245" s="85"/>
      <c r="J245" s="224"/>
      <c r="K245" s="581"/>
      <c r="L245" s="113"/>
      <c r="M245" s="608"/>
      <c r="N245" s="113"/>
      <c r="O245" s="771"/>
      <c r="P245" s="113"/>
      <c r="Q245" s="800"/>
      <c r="R245" s="321"/>
      <c r="S245" s="763"/>
      <c r="T245" s="706"/>
      <c r="U245" s="949"/>
      <c r="V245" s="706"/>
      <c r="W245" s="707"/>
      <c r="X245" s="48"/>
    </row>
    <row r="246" spans="1:24" s="24" customFormat="1" ht="15.75" hidden="1">
      <c r="A246" s="254" t="s">
        <v>18</v>
      </c>
      <c r="B246" s="94" t="s">
        <v>28</v>
      </c>
      <c r="C246" s="284" t="s">
        <v>536</v>
      </c>
      <c r="D246" s="357"/>
      <c r="E246" s="70"/>
      <c r="F246" s="224"/>
      <c r="G246" s="327"/>
      <c r="H246" s="70"/>
      <c r="I246" s="85"/>
      <c r="J246" s="224"/>
      <c r="K246" s="581"/>
      <c r="L246" s="113"/>
      <c r="M246" s="608"/>
      <c r="N246" s="113"/>
      <c r="O246" s="771"/>
      <c r="P246" s="113"/>
      <c r="Q246" s="800"/>
      <c r="R246" s="321"/>
      <c r="S246" s="763"/>
      <c r="T246" s="706"/>
      <c r="U246" s="947"/>
      <c r="V246" s="706"/>
      <c r="W246" s="707"/>
      <c r="X246" s="48"/>
    </row>
    <row r="247" spans="1:24" s="24" customFormat="1" ht="15.75" hidden="1">
      <c r="A247" s="254" t="s">
        <v>19</v>
      </c>
      <c r="B247" s="96" t="s">
        <v>29</v>
      </c>
      <c r="C247" s="284" t="s">
        <v>536</v>
      </c>
      <c r="D247" s="357"/>
      <c r="E247" s="77"/>
      <c r="F247" s="224"/>
      <c r="G247" s="327"/>
      <c r="H247" s="70"/>
      <c r="I247" s="85"/>
      <c r="J247" s="224"/>
      <c r="K247" s="581"/>
      <c r="L247" s="113"/>
      <c r="M247" s="608"/>
      <c r="N247" s="113"/>
      <c r="O247" s="771"/>
      <c r="P247" s="113"/>
      <c r="Q247" s="800"/>
      <c r="R247" s="321"/>
      <c r="S247" s="763"/>
      <c r="T247" s="706"/>
      <c r="U247" s="949"/>
      <c r="V247" s="706"/>
      <c r="W247" s="707"/>
      <c r="X247" s="48"/>
    </row>
    <row r="248" spans="1:24" s="24" customFormat="1" ht="15.75" hidden="1">
      <c r="A248" s="254" t="s">
        <v>20</v>
      </c>
      <c r="B248" s="94" t="s">
        <v>30</v>
      </c>
      <c r="C248" s="284" t="s">
        <v>536</v>
      </c>
      <c r="D248" s="357"/>
      <c r="E248" s="77"/>
      <c r="F248" s="224"/>
      <c r="G248" s="327"/>
      <c r="H248" s="70"/>
      <c r="I248" s="85"/>
      <c r="J248" s="224"/>
      <c r="K248" s="581"/>
      <c r="L248" s="113"/>
      <c r="M248" s="608"/>
      <c r="N248" s="113"/>
      <c r="O248" s="771"/>
      <c r="P248" s="113"/>
      <c r="Q248" s="800"/>
      <c r="R248" s="321"/>
      <c r="S248" s="763"/>
      <c r="T248" s="706"/>
      <c r="U248" s="947" t="s">
        <v>839</v>
      </c>
      <c r="V248" s="706"/>
      <c r="W248" s="707"/>
      <c r="X248" s="48"/>
    </row>
    <row r="249" spans="1:24" s="24" customFormat="1" ht="43.5" customHeight="1">
      <c r="A249" s="254" t="s">
        <v>51</v>
      </c>
      <c r="B249" s="696" t="s">
        <v>736</v>
      </c>
      <c r="C249" s="692" t="s">
        <v>536</v>
      </c>
      <c r="D249" s="564">
        <v>70</v>
      </c>
      <c r="E249" s="556">
        <v>15</v>
      </c>
      <c r="F249" s="568">
        <f>D249*E249</f>
        <v>1050</v>
      </c>
      <c r="G249" s="327">
        <f>E249</f>
        <v>15</v>
      </c>
      <c r="H249" s="70">
        <f aca="true" t="shared" si="20" ref="G249:H251">F249</f>
        <v>1050</v>
      </c>
      <c r="I249" s="85"/>
      <c r="J249" s="224"/>
      <c r="K249" s="113"/>
      <c r="L249" s="113"/>
      <c r="M249" s="608"/>
      <c r="N249" s="113"/>
      <c r="O249" s="771">
        <f>E249</f>
        <v>15</v>
      </c>
      <c r="P249" s="113">
        <f>F249</f>
        <v>1050</v>
      </c>
      <c r="Q249" s="800"/>
      <c r="R249" s="321"/>
      <c r="S249" s="763" t="s">
        <v>726</v>
      </c>
      <c r="T249" s="706"/>
      <c r="U249" s="949"/>
      <c r="V249" s="706" t="s">
        <v>827</v>
      </c>
      <c r="W249" s="707"/>
      <c r="X249" s="48"/>
    </row>
    <row r="250" spans="1:24" s="24" customFormat="1" ht="43.5" customHeight="1">
      <c r="A250" s="254" t="s">
        <v>52</v>
      </c>
      <c r="B250" s="641" t="s">
        <v>31</v>
      </c>
      <c r="C250" s="692" t="s">
        <v>536</v>
      </c>
      <c r="D250" s="564">
        <v>323.156</v>
      </c>
      <c r="E250" s="556">
        <v>1</v>
      </c>
      <c r="F250" s="568">
        <f>D250*E250</f>
        <v>323.156</v>
      </c>
      <c r="G250" s="327">
        <f t="shared" si="20"/>
        <v>1</v>
      </c>
      <c r="H250" s="70">
        <f t="shared" si="20"/>
        <v>323.156</v>
      </c>
      <c r="I250" s="85"/>
      <c r="J250" s="224"/>
      <c r="K250" s="113"/>
      <c r="L250" s="113"/>
      <c r="M250" s="608"/>
      <c r="N250" s="113"/>
      <c r="O250" s="608">
        <f>G250</f>
        <v>1</v>
      </c>
      <c r="P250" s="113">
        <f>H250</f>
        <v>323.156</v>
      </c>
      <c r="Q250" s="800"/>
      <c r="R250" s="321"/>
      <c r="S250" s="763" t="s">
        <v>726</v>
      </c>
      <c r="T250" s="706"/>
      <c r="U250" s="947" t="s">
        <v>851</v>
      </c>
      <c r="V250" s="706" t="s">
        <v>828</v>
      </c>
      <c r="W250" s="707"/>
      <c r="X250" s="48"/>
    </row>
    <row r="251" spans="1:24" s="24" customFormat="1" ht="43.5" customHeight="1">
      <c r="A251" s="254" t="s">
        <v>14</v>
      </c>
      <c r="B251" s="641" t="s">
        <v>384</v>
      </c>
      <c r="C251" s="692" t="s">
        <v>536</v>
      </c>
      <c r="D251" s="564">
        <v>220</v>
      </c>
      <c r="E251" s="556">
        <v>1</v>
      </c>
      <c r="F251" s="568">
        <f>D251*E251</f>
        <v>220</v>
      </c>
      <c r="G251" s="327">
        <f t="shared" si="20"/>
        <v>1</v>
      </c>
      <c r="H251" s="70">
        <f t="shared" si="20"/>
        <v>220</v>
      </c>
      <c r="I251" s="85"/>
      <c r="J251" s="224"/>
      <c r="K251" s="113">
        <f aca="true" t="shared" si="21" ref="K251:L265">E251</f>
        <v>1</v>
      </c>
      <c r="L251" s="113">
        <f t="shared" si="21"/>
        <v>220</v>
      </c>
      <c r="M251" s="608"/>
      <c r="N251" s="113"/>
      <c r="O251" s="771"/>
      <c r="P251" s="113"/>
      <c r="Q251" s="800"/>
      <c r="R251" s="321"/>
      <c r="S251" s="763" t="s">
        <v>726</v>
      </c>
      <c r="T251" s="706"/>
      <c r="U251" s="949"/>
      <c r="V251" s="706" t="s">
        <v>829</v>
      </c>
      <c r="W251" s="707"/>
      <c r="X251" s="48"/>
    </row>
    <row r="252" spans="1:24" s="24" customFormat="1" ht="43.5" customHeight="1" hidden="1">
      <c r="A252" s="254" t="s">
        <v>15</v>
      </c>
      <c r="B252" s="641" t="s">
        <v>32</v>
      </c>
      <c r="C252" s="692" t="s">
        <v>536</v>
      </c>
      <c r="D252" s="695"/>
      <c r="E252" s="556"/>
      <c r="F252" s="697"/>
      <c r="G252" s="327"/>
      <c r="H252" s="70"/>
      <c r="I252" s="85"/>
      <c r="J252" s="224"/>
      <c r="K252" s="113">
        <f t="shared" si="21"/>
        <v>0</v>
      </c>
      <c r="L252" s="113">
        <f t="shared" si="21"/>
        <v>0</v>
      </c>
      <c r="M252" s="608"/>
      <c r="N252" s="113"/>
      <c r="O252" s="771"/>
      <c r="P252" s="113"/>
      <c r="Q252" s="800"/>
      <c r="R252" s="321"/>
      <c r="S252" s="763"/>
      <c r="T252" s="706"/>
      <c r="U252" s="947"/>
      <c r="V252" s="706"/>
      <c r="W252" s="707"/>
      <c r="X252" s="48"/>
    </row>
    <row r="253" spans="1:24" s="24" customFormat="1" ht="43.5" customHeight="1" hidden="1">
      <c r="A253" s="254" t="s">
        <v>16</v>
      </c>
      <c r="B253" s="641" t="s">
        <v>33</v>
      </c>
      <c r="C253" s="692" t="s">
        <v>536</v>
      </c>
      <c r="D253" s="695"/>
      <c r="E253" s="556"/>
      <c r="F253" s="697"/>
      <c r="G253" s="327"/>
      <c r="H253" s="70"/>
      <c r="I253" s="85"/>
      <c r="J253" s="224"/>
      <c r="K253" s="113">
        <f t="shared" si="21"/>
        <v>0</v>
      </c>
      <c r="L253" s="113">
        <f t="shared" si="21"/>
        <v>0</v>
      </c>
      <c r="M253" s="608"/>
      <c r="N253" s="113"/>
      <c r="O253" s="771"/>
      <c r="P253" s="113"/>
      <c r="Q253" s="800"/>
      <c r="R253" s="321"/>
      <c r="S253" s="763"/>
      <c r="T253" s="706"/>
      <c r="U253" s="948"/>
      <c r="V253" s="706"/>
      <c r="W253" s="707"/>
      <c r="X253" s="48"/>
    </row>
    <row r="254" spans="1:24" s="24" customFormat="1" ht="43.5" customHeight="1" hidden="1">
      <c r="A254" s="254" t="s">
        <v>17</v>
      </c>
      <c r="B254" s="641" t="s">
        <v>34</v>
      </c>
      <c r="C254" s="692" t="s">
        <v>536</v>
      </c>
      <c r="D254" s="695"/>
      <c r="E254" s="556"/>
      <c r="F254" s="697"/>
      <c r="G254" s="327"/>
      <c r="H254" s="70"/>
      <c r="I254" s="85"/>
      <c r="J254" s="224"/>
      <c r="K254" s="113">
        <f t="shared" si="21"/>
        <v>0</v>
      </c>
      <c r="L254" s="113">
        <f t="shared" si="21"/>
        <v>0</v>
      </c>
      <c r="M254" s="608"/>
      <c r="N254" s="113"/>
      <c r="O254" s="771"/>
      <c r="P254" s="113"/>
      <c r="Q254" s="800"/>
      <c r="R254" s="321"/>
      <c r="S254" s="763"/>
      <c r="T254" s="706"/>
      <c r="U254" s="949"/>
      <c r="V254" s="706"/>
      <c r="W254" s="707"/>
      <c r="X254" s="48"/>
    </row>
    <row r="255" spans="1:24" s="24" customFormat="1" ht="43.5" customHeight="1" hidden="1">
      <c r="A255" s="254" t="s">
        <v>18</v>
      </c>
      <c r="B255" s="560" t="s">
        <v>35</v>
      </c>
      <c r="C255" s="692" t="s">
        <v>536</v>
      </c>
      <c r="D255" s="695"/>
      <c r="E255" s="556"/>
      <c r="F255" s="697"/>
      <c r="G255" s="327"/>
      <c r="H255" s="70"/>
      <c r="I255" s="85"/>
      <c r="J255" s="224"/>
      <c r="K255" s="113">
        <f t="shared" si="21"/>
        <v>0</v>
      </c>
      <c r="L255" s="113">
        <f t="shared" si="21"/>
        <v>0</v>
      </c>
      <c r="M255" s="608"/>
      <c r="N255" s="113"/>
      <c r="O255" s="771"/>
      <c r="P255" s="113"/>
      <c r="Q255" s="800"/>
      <c r="R255" s="321"/>
      <c r="S255" s="763"/>
      <c r="T255" s="706"/>
      <c r="U255" s="947"/>
      <c r="V255" s="706"/>
      <c r="W255" s="707"/>
      <c r="X255" s="48"/>
    </row>
    <row r="256" spans="1:24" s="24" customFormat="1" ht="43.5" customHeight="1" hidden="1">
      <c r="A256" s="254" t="s">
        <v>19</v>
      </c>
      <c r="B256" s="560" t="s">
        <v>361</v>
      </c>
      <c r="C256" s="692" t="s">
        <v>536</v>
      </c>
      <c r="D256" s="695"/>
      <c r="E256" s="556"/>
      <c r="F256" s="697"/>
      <c r="G256" s="327"/>
      <c r="H256" s="70"/>
      <c r="I256" s="85"/>
      <c r="J256" s="224"/>
      <c r="K256" s="113">
        <f t="shared" si="21"/>
        <v>0</v>
      </c>
      <c r="L256" s="113">
        <f t="shared" si="21"/>
        <v>0</v>
      </c>
      <c r="M256" s="608"/>
      <c r="N256" s="113"/>
      <c r="O256" s="771"/>
      <c r="P256" s="113"/>
      <c r="Q256" s="800"/>
      <c r="R256" s="321"/>
      <c r="S256" s="763"/>
      <c r="T256" s="706"/>
      <c r="U256" s="949"/>
      <c r="V256" s="706"/>
      <c r="W256" s="707"/>
      <c r="X256" s="48"/>
    </row>
    <row r="257" spans="1:24" s="24" customFormat="1" ht="43.5" customHeight="1" hidden="1">
      <c r="A257" s="254" t="s">
        <v>20</v>
      </c>
      <c r="B257" s="560" t="s">
        <v>362</v>
      </c>
      <c r="C257" s="692" t="s">
        <v>536</v>
      </c>
      <c r="D257" s="695"/>
      <c r="E257" s="556"/>
      <c r="F257" s="697"/>
      <c r="G257" s="327"/>
      <c r="H257" s="70"/>
      <c r="I257" s="85"/>
      <c r="J257" s="224"/>
      <c r="K257" s="113">
        <f t="shared" si="21"/>
        <v>0</v>
      </c>
      <c r="L257" s="113">
        <f t="shared" si="21"/>
        <v>0</v>
      </c>
      <c r="M257" s="608"/>
      <c r="N257" s="113"/>
      <c r="O257" s="771"/>
      <c r="P257" s="113"/>
      <c r="Q257" s="800"/>
      <c r="R257" s="321"/>
      <c r="S257" s="763"/>
      <c r="T257" s="706"/>
      <c r="U257" s="947"/>
      <c r="V257" s="706"/>
      <c r="W257" s="707"/>
      <c r="X257" s="48"/>
    </row>
    <row r="258" spans="1:24" s="24" customFormat="1" ht="43.5" customHeight="1" hidden="1">
      <c r="A258" s="254" t="s">
        <v>21</v>
      </c>
      <c r="B258" s="641" t="s">
        <v>363</v>
      </c>
      <c r="C258" s="692" t="s">
        <v>536</v>
      </c>
      <c r="D258" s="695"/>
      <c r="E258" s="556"/>
      <c r="F258" s="697"/>
      <c r="G258" s="327"/>
      <c r="H258" s="70"/>
      <c r="I258" s="85"/>
      <c r="J258" s="224"/>
      <c r="K258" s="113">
        <f t="shared" si="21"/>
        <v>0</v>
      </c>
      <c r="L258" s="113">
        <f t="shared" si="21"/>
        <v>0</v>
      </c>
      <c r="M258" s="608"/>
      <c r="N258" s="113"/>
      <c r="O258" s="771"/>
      <c r="P258" s="113"/>
      <c r="Q258" s="800"/>
      <c r="R258" s="321"/>
      <c r="S258" s="763"/>
      <c r="T258" s="706"/>
      <c r="U258" s="949"/>
      <c r="V258" s="706"/>
      <c r="W258" s="707"/>
      <c r="X258" s="48"/>
    </row>
    <row r="259" spans="1:24" s="24" customFormat="1" ht="43.5" customHeight="1">
      <c r="A259" s="254" t="s">
        <v>15</v>
      </c>
      <c r="B259" s="641" t="s">
        <v>730</v>
      </c>
      <c r="C259" s="692" t="s">
        <v>536</v>
      </c>
      <c r="D259" s="564">
        <v>12.6</v>
      </c>
      <c r="E259" s="556">
        <v>20</v>
      </c>
      <c r="F259" s="568">
        <f>D259*E259</f>
        <v>252</v>
      </c>
      <c r="G259" s="327">
        <f>E259</f>
        <v>20</v>
      </c>
      <c r="H259" s="70">
        <f>F259</f>
        <v>252</v>
      </c>
      <c r="I259" s="85"/>
      <c r="J259" s="224"/>
      <c r="K259" s="113">
        <f t="shared" si="21"/>
        <v>20</v>
      </c>
      <c r="L259" s="113">
        <f t="shared" si="21"/>
        <v>252</v>
      </c>
      <c r="M259" s="608"/>
      <c r="N259" s="113"/>
      <c r="O259" s="771"/>
      <c r="P259" s="113"/>
      <c r="Q259" s="800"/>
      <c r="R259" s="321"/>
      <c r="S259" s="763" t="s">
        <v>726</v>
      </c>
      <c r="T259" s="706"/>
      <c r="U259" s="947" t="s">
        <v>852</v>
      </c>
      <c r="V259" s="960" t="s">
        <v>830</v>
      </c>
      <c r="W259" s="707"/>
      <c r="X259" s="48"/>
    </row>
    <row r="260" spans="1:24" s="24" customFormat="1" ht="15.75" customHeight="1" hidden="1">
      <c r="A260" s="254" t="s">
        <v>22</v>
      </c>
      <c r="B260" s="641" t="s">
        <v>159</v>
      </c>
      <c r="C260" s="692" t="s">
        <v>536</v>
      </c>
      <c r="D260" s="564"/>
      <c r="E260" s="556"/>
      <c r="F260" s="697"/>
      <c r="G260" s="327"/>
      <c r="H260" s="70"/>
      <c r="I260" s="85"/>
      <c r="J260" s="224"/>
      <c r="K260" s="113">
        <f t="shared" si="21"/>
        <v>0</v>
      </c>
      <c r="L260" s="113">
        <f t="shared" si="21"/>
        <v>0</v>
      </c>
      <c r="M260" s="608"/>
      <c r="N260" s="113"/>
      <c r="O260" s="771"/>
      <c r="P260" s="113"/>
      <c r="Q260" s="800"/>
      <c r="R260" s="321"/>
      <c r="S260" s="763"/>
      <c r="T260" s="706"/>
      <c r="U260" s="948"/>
      <c r="V260" s="961"/>
      <c r="W260" s="707"/>
      <c r="X260" s="48"/>
    </row>
    <row r="261" spans="1:24" s="24" customFormat="1" ht="43.5" customHeight="1">
      <c r="A261" s="254" t="s">
        <v>16</v>
      </c>
      <c r="B261" s="641" t="s">
        <v>731</v>
      </c>
      <c r="C261" s="692" t="s">
        <v>536</v>
      </c>
      <c r="D261" s="564">
        <v>19</v>
      </c>
      <c r="E261" s="556">
        <v>4</v>
      </c>
      <c r="F261" s="568">
        <f>D261*E261</f>
        <v>76</v>
      </c>
      <c r="G261" s="327">
        <f aca="true" t="shared" si="22" ref="G261:H264">E261</f>
        <v>4</v>
      </c>
      <c r="H261" s="70">
        <f t="shared" si="22"/>
        <v>76</v>
      </c>
      <c r="I261" s="85"/>
      <c r="J261" s="224"/>
      <c r="K261" s="113">
        <f t="shared" si="21"/>
        <v>4</v>
      </c>
      <c r="L261" s="113">
        <f t="shared" si="21"/>
        <v>76</v>
      </c>
      <c r="M261" s="608"/>
      <c r="N261" s="113"/>
      <c r="O261" s="771"/>
      <c r="P261" s="113"/>
      <c r="Q261" s="800"/>
      <c r="R261" s="321"/>
      <c r="S261" s="763" t="s">
        <v>726</v>
      </c>
      <c r="T261" s="706"/>
      <c r="U261" s="948"/>
      <c r="V261" s="962"/>
      <c r="W261" s="707"/>
      <c r="X261" s="48"/>
    </row>
    <row r="262" spans="1:24" s="24" customFormat="1" ht="15.75" customHeight="1" hidden="1">
      <c r="A262" s="254" t="s">
        <v>23</v>
      </c>
      <c r="B262" s="641" t="s">
        <v>493</v>
      </c>
      <c r="C262" s="692" t="s">
        <v>536</v>
      </c>
      <c r="D262" s="695"/>
      <c r="E262" s="556"/>
      <c r="F262" s="697"/>
      <c r="G262" s="327">
        <f t="shared" si="22"/>
        <v>0</v>
      </c>
      <c r="H262" s="70">
        <f t="shared" si="22"/>
        <v>0</v>
      </c>
      <c r="I262" s="85"/>
      <c r="J262" s="224"/>
      <c r="K262" s="113">
        <f t="shared" si="21"/>
        <v>0</v>
      </c>
      <c r="L262" s="113">
        <f t="shared" si="21"/>
        <v>0</v>
      </c>
      <c r="M262" s="608"/>
      <c r="N262" s="113"/>
      <c r="O262" s="771"/>
      <c r="P262" s="113"/>
      <c r="Q262" s="800"/>
      <c r="R262" s="321"/>
      <c r="S262" s="763"/>
      <c r="T262" s="706"/>
      <c r="U262" s="948"/>
      <c r="V262" s="706"/>
      <c r="W262" s="707"/>
      <c r="X262" s="48"/>
    </row>
    <row r="263" spans="1:24" s="24" customFormat="1" ht="48.75" customHeight="1">
      <c r="A263" s="254" t="s">
        <v>17</v>
      </c>
      <c r="B263" s="641" t="s">
        <v>721</v>
      </c>
      <c r="C263" s="692" t="s">
        <v>722</v>
      </c>
      <c r="D263" s="564">
        <v>7</v>
      </c>
      <c r="E263" s="556">
        <v>4</v>
      </c>
      <c r="F263" s="568">
        <f>E263*D263</f>
        <v>28</v>
      </c>
      <c r="G263" s="327">
        <f t="shared" si="22"/>
        <v>4</v>
      </c>
      <c r="H263" s="70">
        <f t="shared" si="22"/>
        <v>28</v>
      </c>
      <c r="I263" s="85"/>
      <c r="J263" s="224"/>
      <c r="K263" s="113">
        <f t="shared" si="21"/>
        <v>4</v>
      </c>
      <c r="L263" s="113">
        <f t="shared" si="21"/>
        <v>28</v>
      </c>
      <c r="M263" s="608"/>
      <c r="N263" s="113"/>
      <c r="O263" s="771"/>
      <c r="P263" s="113"/>
      <c r="Q263" s="800"/>
      <c r="R263" s="321"/>
      <c r="S263" s="763" t="s">
        <v>726</v>
      </c>
      <c r="T263" s="706"/>
      <c r="U263" s="949"/>
      <c r="V263" s="706"/>
      <c r="W263" s="707"/>
      <c r="X263" s="48"/>
    </row>
    <row r="264" spans="1:24" s="24" customFormat="1" ht="47.25" customHeight="1" thickBot="1">
      <c r="A264" s="254" t="s">
        <v>18</v>
      </c>
      <c r="B264" s="641" t="s">
        <v>854</v>
      </c>
      <c r="C264" s="692" t="s">
        <v>722</v>
      </c>
      <c r="D264" s="564">
        <v>14</v>
      </c>
      <c r="E264" s="556">
        <v>12</v>
      </c>
      <c r="F264" s="568">
        <f>E264*D264</f>
        <v>168</v>
      </c>
      <c r="G264" s="327">
        <f t="shared" si="22"/>
        <v>12</v>
      </c>
      <c r="H264" s="70">
        <f t="shared" si="22"/>
        <v>168</v>
      </c>
      <c r="I264" s="85"/>
      <c r="J264" s="224"/>
      <c r="K264" s="632">
        <f t="shared" si="21"/>
        <v>12</v>
      </c>
      <c r="L264" s="113">
        <f t="shared" si="21"/>
        <v>168</v>
      </c>
      <c r="M264" s="608"/>
      <c r="N264" s="113"/>
      <c r="O264" s="771"/>
      <c r="P264" s="113"/>
      <c r="Q264" s="800"/>
      <c r="R264" s="321"/>
      <c r="S264" s="763" t="s">
        <v>726</v>
      </c>
      <c r="T264" s="706"/>
      <c r="U264" s="727" t="s">
        <v>853</v>
      </c>
      <c r="V264" s="706"/>
      <c r="W264" s="707"/>
      <c r="X264" s="48"/>
    </row>
    <row r="265" spans="1:24" s="24" customFormat="1" ht="16.5" hidden="1" thickBot="1">
      <c r="A265" s="254" t="s">
        <v>158</v>
      </c>
      <c r="B265" s="94" t="s">
        <v>582</v>
      </c>
      <c r="C265" s="284" t="s">
        <v>536</v>
      </c>
      <c r="D265" s="357"/>
      <c r="E265" s="77"/>
      <c r="F265" s="224"/>
      <c r="G265" s="327"/>
      <c r="H265" s="70"/>
      <c r="I265" s="85"/>
      <c r="J265" s="224"/>
      <c r="K265" s="581"/>
      <c r="L265" s="113">
        <f t="shared" si="21"/>
        <v>0</v>
      </c>
      <c r="M265" s="608"/>
      <c r="N265" s="113"/>
      <c r="O265" s="771"/>
      <c r="P265" s="113"/>
      <c r="Q265" s="800"/>
      <c r="R265" s="321"/>
      <c r="S265" s="763"/>
      <c r="T265" s="706"/>
      <c r="U265" s="710"/>
      <c r="V265" s="706"/>
      <c r="W265" s="707"/>
      <c r="X265" s="48"/>
    </row>
    <row r="266" spans="1:24" s="24" customFormat="1" ht="21" customHeight="1" thickBot="1">
      <c r="A266" s="258" t="s">
        <v>211</v>
      </c>
      <c r="B266" s="259"/>
      <c r="C266" s="295"/>
      <c r="D266" s="348"/>
      <c r="E266" s="260"/>
      <c r="F266" s="349">
        <f>SUM(F240:F265)</f>
        <v>2117.156</v>
      </c>
      <c r="G266" s="387"/>
      <c r="H266" s="261">
        <f>SUM(H240:H265)</f>
        <v>2117.156</v>
      </c>
      <c r="I266" s="261"/>
      <c r="J266" s="261">
        <f>SUM(J240:J265)</f>
        <v>0</v>
      </c>
      <c r="K266" s="348"/>
      <c r="L266" s="261">
        <f>SUM(L240:L265)</f>
        <v>744</v>
      </c>
      <c r="M266" s="260"/>
      <c r="N266" s="261">
        <f>SUM(N240:N265)</f>
        <v>0</v>
      </c>
      <c r="O266" s="781"/>
      <c r="P266" s="261">
        <f>SUM(P240:P265)</f>
        <v>1373.156</v>
      </c>
      <c r="Q266" s="781"/>
      <c r="R266" s="349">
        <f>SUM(R240:R265)</f>
        <v>0</v>
      </c>
      <c r="S266" s="721"/>
      <c r="T266" s="723"/>
      <c r="U266" s="735"/>
      <c r="V266" s="723"/>
      <c r="W266" s="724"/>
      <c r="X266" s="48"/>
    </row>
    <row r="267" spans="1:24" s="24" customFormat="1" ht="21.75" customHeight="1" thickBot="1">
      <c r="A267" s="255" t="s">
        <v>481</v>
      </c>
      <c r="B267" s="256"/>
      <c r="C267" s="314"/>
      <c r="D267" s="640"/>
      <c r="E267" s="637"/>
      <c r="F267" s="379">
        <f>F73+F100+F145+F200+F226+F238+F266</f>
        <v>72318.00150000001</v>
      </c>
      <c r="G267" s="396"/>
      <c r="H267" s="257">
        <f>H73+H100+H145+H200+H226+H238+H266</f>
        <v>63141.601500000004</v>
      </c>
      <c r="I267" s="257"/>
      <c r="J267" s="379">
        <f>J73+J100+J145+J200+J226+J238+J266</f>
        <v>9176.400000000001</v>
      </c>
      <c r="K267" s="255"/>
      <c r="L267" s="257">
        <f>L73+L100+L145+L200+L226+L238+L266</f>
        <v>18146.1815</v>
      </c>
      <c r="M267" s="256"/>
      <c r="N267" s="257">
        <f>N73+N100+N145+N200+N226+N238+N266</f>
        <v>18155.545000000002</v>
      </c>
      <c r="O267" s="810"/>
      <c r="P267" s="257">
        <f>P73+P100+P145+P200+P226+P238+P266</f>
        <v>17758.378666666664</v>
      </c>
      <c r="Q267" s="810"/>
      <c r="R267" s="379">
        <f>R73+R100+R145+R200+R226+R238+R266</f>
        <v>18257.896333333334</v>
      </c>
      <c r="S267" s="721"/>
      <c r="T267" s="723"/>
      <c r="U267" s="735"/>
      <c r="V267" s="723"/>
      <c r="W267" s="724"/>
      <c r="X267" s="48"/>
    </row>
    <row r="268" spans="1:24" s="50" customFormat="1" ht="10.5" customHeight="1">
      <c r="A268" s="101"/>
      <c r="B268" s="101"/>
      <c r="C268" s="101"/>
      <c r="D268" s="101"/>
      <c r="E268" s="638"/>
      <c r="F268" s="102"/>
      <c r="G268" s="102"/>
      <c r="H268" s="102"/>
      <c r="I268" s="102"/>
      <c r="J268" s="102"/>
      <c r="K268" s="101"/>
      <c r="L268" s="102"/>
      <c r="M268" s="101"/>
      <c r="N268" s="102"/>
      <c r="O268" s="811"/>
      <c r="P268" s="102"/>
      <c r="Q268" s="811"/>
      <c r="R268" s="102"/>
      <c r="S268" s="764"/>
      <c r="T268" s="764"/>
      <c r="U268" s="765"/>
      <c r="V268" s="764"/>
      <c r="W268" s="764"/>
      <c r="X268" s="24"/>
    </row>
    <row r="269" spans="1:24" ht="15.75">
      <c r="A269" s="930" t="s">
        <v>163</v>
      </c>
      <c r="B269" s="930"/>
      <c r="C269" s="930"/>
      <c r="D269" s="930"/>
      <c r="E269" s="930"/>
      <c r="F269" s="930"/>
      <c r="G269" s="219"/>
      <c r="H269" s="219"/>
      <c r="I269" s="537"/>
      <c r="J269" s="219"/>
      <c r="K269" s="106"/>
      <c r="L269" s="812"/>
      <c r="M269" s="613"/>
      <c r="N269" s="612"/>
      <c r="O269" s="812"/>
      <c r="P269" s="612"/>
      <c r="Q269" s="812"/>
      <c r="R269" s="612"/>
      <c r="S269" s="103"/>
      <c r="T269" s="103"/>
      <c r="U269" s="103"/>
      <c r="V269" s="103"/>
      <c r="W269" s="103"/>
      <c r="X269" s="50"/>
    </row>
    <row r="270" spans="1:23" ht="15.75">
      <c r="A270" s="104"/>
      <c r="B270" s="103"/>
      <c r="C270" s="103"/>
      <c r="D270" s="105"/>
      <c r="E270" s="108"/>
      <c r="F270" s="106"/>
      <c r="G270" s="106"/>
      <c r="H270" s="106"/>
      <c r="I270" s="106"/>
      <c r="J270" s="106"/>
      <c r="K270" s="106"/>
      <c r="L270" s="106"/>
      <c r="M270" s="612"/>
      <c r="N270" s="106"/>
      <c r="O270" s="812"/>
      <c r="P270" s="106"/>
      <c r="Q270" s="812"/>
      <c r="R270" s="106"/>
      <c r="S270" s="103"/>
      <c r="T270" s="103"/>
      <c r="U270" s="103"/>
      <c r="V270" s="103"/>
      <c r="W270" s="103"/>
    </row>
    <row r="271" spans="1:23" ht="15.75">
      <c r="A271" s="107"/>
      <c r="B271" s="103"/>
      <c r="C271" s="103"/>
      <c r="D271" s="108"/>
      <c r="E271" s="108"/>
      <c r="F271" s="106"/>
      <c r="G271" s="106"/>
      <c r="H271" s="106"/>
      <c r="I271" s="106"/>
      <c r="J271" s="106"/>
      <c r="K271" s="611"/>
      <c r="L271" s="106"/>
      <c r="M271" s="613"/>
      <c r="N271" s="106"/>
      <c r="O271" s="812"/>
      <c r="P271" s="106"/>
      <c r="Q271" s="812"/>
      <c r="R271" s="106"/>
      <c r="S271" s="103"/>
      <c r="T271" s="103"/>
      <c r="U271" s="103"/>
      <c r="V271" s="103"/>
      <c r="W271" s="103"/>
    </row>
    <row r="272" spans="1:23" ht="15.75" outlineLevel="1">
      <c r="A272" s="107"/>
      <c r="B272" s="53" t="s">
        <v>97</v>
      </c>
      <c r="C272" s="54"/>
      <c r="D272" s="105"/>
      <c r="E272" s="110"/>
      <c r="F272" s="553" t="s">
        <v>419</v>
      </c>
      <c r="G272" s="56"/>
      <c r="H272" s="56"/>
      <c r="I272" s="56"/>
      <c r="J272" s="56"/>
      <c r="K272" s="56"/>
      <c r="L272" s="105"/>
      <c r="M272" s="56"/>
      <c r="N272" s="614" t="s">
        <v>711</v>
      </c>
      <c r="O272" s="813"/>
      <c r="P272" s="617"/>
      <c r="Q272" s="815"/>
      <c r="R272" s="617"/>
      <c r="S272" s="103"/>
      <c r="T272" s="103"/>
      <c r="U272" s="103"/>
      <c r="V272" s="103"/>
      <c r="W272" s="103"/>
    </row>
    <row r="273" spans="1:24" s="548" customFormat="1" ht="15.75" outlineLevel="1">
      <c r="A273" s="55"/>
      <c r="B273" s="57"/>
      <c r="C273" s="58"/>
      <c r="D273" s="58"/>
      <c r="E273" s="110"/>
      <c r="F273" s="553" t="s">
        <v>420</v>
      </c>
      <c r="G273" s="56"/>
      <c r="H273" s="56"/>
      <c r="I273" s="56"/>
      <c r="J273" s="56"/>
      <c r="K273" s="56"/>
      <c r="L273" s="55"/>
      <c r="M273" s="56"/>
      <c r="N273" s="56" t="s">
        <v>521</v>
      </c>
      <c r="O273" s="813"/>
      <c r="P273" s="56"/>
      <c r="Q273" s="814"/>
      <c r="R273" s="55"/>
      <c r="S273" s="55"/>
      <c r="T273" s="56"/>
      <c r="U273" s="56"/>
      <c r="V273" s="56"/>
      <c r="W273" s="55"/>
      <c r="X273" s="541"/>
    </row>
    <row r="274" spans="1:23" s="548" customFormat="1" ht="52.5" customHeight="1">
      <c r="A274" s="55"/>
      <c r="B274" s="57"/>
      <c r="C274" s="58"/>
      <c r="D274" s="58"/>
      <c r="E274" s="110"/>
      <c r="F274" s="553"/>
      <c r="G274" s="56"/>
      <c r="H274" s="56"/>
      <c r="I274" s="56"/>
      <c r="J274" s="56"/>
      <c r="K274" s="56"/>
      <c r="L274" s="55"/>
      <c r="M274" s="56"/>
      <c r="N274" s="56"/>
      <c r="O274" s="813"/>
      <c r="P274" s="56"/>
      <c r="Q274" s="814"/>
      <c r="R274" s="55"/>
      <c r="S274" s="55"/>
      <c r="T274" s="56"/>
      <c r="U274" s="56"/>
      <c r="V274" s="56"/>
      <c r="W274" s="55"/>
    </row>
    <row r="275" spans="1:23" s="548" customFormat="1" ht="15.75" outlineLevel="1">
      <c r="A275" s="55"/>
      <c r="B275" s="53" t="s">
        <v>154</v>
      </c>
      <c r="C275" s="54"/>
      <c r="D275" s="105"/>
      <c r="E275" s="110"/>
      <c r="F275" s="553" t="s">
        <v>419</v>
      </c>
      <c r="G275" s="56"/>
      <c r="H275" s="56"/>
      <c r="I275" s="56"/>
      <c r="J275" s="56"/>
      <c r="K275" s="56"/>
      <c r="L275" s="105"/>
      <c r="M275" s="56"/>
      <c r="N275" s="614" t="s">
        <v>153</v>
      </c>
      <c r="O275" s="813"/>
      <c r="P275" s="56"/>
      <c r="Q275" s="814"/>
      <c r="R275" s="55"/>
      <c r="S275" s="55"/>
      <c r="T275" s="56"/>
      <c r="U275" s="56"/>
      <c r="V275" s="56"/>
      <c r="W275" s="55"/>
    </row>
    <row r="276" spans="1:23" s="548" customFormat="1" ht="15.75" outlineLevel="1">
      <c r="A276" s="55"/>
      <c r="B276" s="57"/>
      <c r="C276" s="58"/>
      <c r="D276" s="58"/>
      <c r="E276" s="110"/>
      <c r="F276" s="553" t="s">
        <v>420</v>
      </c>
      <c r="G276" s="56"/>
      <c r="H276" s="56"/>
      <c r="I276" s="56"/>
      <c r="J276" s="56"/>
      <c r="K276" s="56"/>
      <c r="L276" s="55"/>
      <c r="M276" s="56"/>
      <c r="N276" s="56" t="s">
        <v>521</v>
      </c>
      <c r="O276" s="813"/>
      <c r="P276" s="56"/>
      <c r="Q276" s="814"/>
      <c r="R276" s="55"/>
      <c r="S276" s="55"/>
      <c r="T276" s="56"/>
      <c r="U276" s="56"/>
      <c r="V276" s="56"/>
      <c r="W276" s="55"/>
    </row>
    <row r="277" spans="1:23" s="548" customFormat="1" ht="20.25" customHeight="1">
      <c r="A277" s="59"/>
      <c r="B277" s="929" t="s">
        <v>435</v>
      </c>
      <c r="C277" s="929"/>
      <c r="D277" s="929"/>
      <c r="E277" s="929"/>
      <c r="F277" s="110"/>
      <c r="G277" s="55"/>
      <c r="H277" s="55"/>
      <c r="I277" s="55"/>
      <c r="J277" s="55"/>
      <c r="K277" s="55"/>
      <c r="L277" s="612"/>
      <c r="M277" s="612"/>
      <c r="N277" s="612"/>
      <c r="O277" s="812"/>
      <c r="P277" s="612"/>
      <c r="Q277" s="812"/>
      <c r="R277" s="612"/>
      <c r="S277" s="55"/>
      <c r="T277" s="56"/>
      <c r="U277" s="56"/>
      <c r="V277" s="56"/>
      <c r="W277" s="55"/>
    </row>
    <row r="278" spans="1:23" s="548" customFormat="1" ht="16.5" customHeight="1">
      <c r="A278" s="109"/>
      <c r="B278" s="60" t="s">
        <v>522</v>
      </c>
      <c r="C278" s="59"/>
      <c r="D278" s="59"/>
      <c r="E278" s="639"/>
      <c r="F278" s="554"/>
      <c r="G278" s="58"/>
      <c r="H278" s="58"/>
      <c r="I278" s="58"/>
      <c r="J278" s="58"/>
      <c r="K278" s="58"/>
      <c r="L278" s="615" t="s">
        <v>152</v>
      </c>
      <c r="M278" s="55"/>
      <c r="N278" s="110"/>
      <c r="O278" s="814"/>
      <c r="P278" s="110"/>
      <c r="Q278" s="814"/>
      <c r="R278" s="110"/>
      <c r="S278" s="55"/>
      <c r="T278" s="56"/>
      <c r="U278" s="56"/>
      <c r="V278" s="56"/>
      <c r="W278" s="55"/>
    </row>
    <row r="279" spans="1:24" ht="15.75">
      <c r="A279" s="107"/>
      <c r="B279" s="103"/>
      <c r="C279" s="103"/>
      <c r="D279" s="105"/>
      <c r="E279" s="108"/>
      <c r="F279" s="108"/>
      <c r="G279" s="108"/>
      <c r="H279" s="108"/>
      <c r="I279" s="108"/>
      <c r="J279" s="108"/>
      <c r="K279" s="105"/>
      <c r="L279" s="612"/>
      <c r="M279" s="612"/>
      <c r="N279" s="612"/>
      <c r="O279" s="812"/>
      <c r="P279" s="612"/>
      <c r="Q279" s="812"/>
      <c r="R279" s="612"/>
      <c r="S279" s="103"/>
      <c r="T279" s="103"/>
      <c r="U279" s="103"/>
      <c r="V279" s="103"/>
      <c r="W279" s="103"/>
      <c r="X279" s="548"/>
    </row>
    <row r="280" spans="1:23" ht="15.75">
      <c r="A280" s="107"/>
      <c r="B280" s="103"/>
      <c r="C280" s="103"/>
      <c r="D280" s="105"/>
      <c r="E280" s="108"/>
      <c r="F280" s="108"/>
      <c r="G280" s="108"/>
      <c r="H280" s="108"/>
      <c r="I280" s="108"/>
      <c r="J280" s="108"/>
      <c r="K280" s="105"/>
      <c r="L280" s="105"/>
      <c r="M280" s="105"/>
      <c r="N280" s="105"/>
      <c r="O280" s="815"/>
      <c r="P280" s="105"/>
      <c r="Q280" s="815"/>
      <c r="R280" s="105"/>
      <c r="S280" s="103"/>
      <c r="T280" s="103"/>
      <c r="U280" s="103"/>
      <c r="V280" s="103"/>
      <c r="W280" s="103"/>
    </row>
    <row r="281" spans="12:18" ht="16.5" customHeight="1">
      <c r="L281" s="542">
        <f>L267*100/F267</f>
        <v>25.092205431036415</v>
      </c>
      <c r="M281" s="542"/>
      <c r="N281" s="542">
        <f>N267*100/F267</f>
        <v>25.105153106311988</v>
      </c>
      <c r="P281" s="542">
        <f>P267*100/F267</f>
        <v>24.55595881845084</v>
      </c>
      <c r="R281" s="542">
        <f>R267*100/F267</f>
        <v>25.24668264420074</v>
      </c>
    </row>
  </sheetData>
  <sheetProtection insertRows="0" deleteRows="0" selectLockedCells="1"/>
  <mergeCells count="70">
    <mergeCell ref="U259:U263"/>
    <mergeCell ref="V86:V91"/>
    <mergeCell ref="V117:V127"/>
    <mergeCell ref="V95:V97"/>
    <mergeCell ref="V149:V150"/>
    <mergeCell ref="V167:V171"/>
    <mergeCell ref="V259:V261"/>
    <mergeCell ref="U248:U249"/>
    <mergeCell ref="U250:U251"/>
    <mergeCell ref="U252:U254"/>
    <mergeCell ref="U255:U256"/>
    <mergeCell ref="U257:U258"/>
    <mergeCell ref="U240:U241"/>
    <mergeCell ref="U242:U243"/>
    <mergeCell ref="U244:U245"/>
    <mergeCell ref="U246:U247"/>
    <mergeCell ref="U221:U224"/>
    <mergeCell ref="W52:W55"/>
    <mergeCell ref="U113:U115"/>
    <mergeCell ref="U117:U136"/>
    <mergeCell ref="U140:U143"/>
    <mergeCell ref="U163:U164"/>
    <mergeCell ref="U86:U91"/>
    <mergeCell ref="U167:U173"/>
    <mergeCell ref="A74:B74"/>
    <mergeCell ref="B112:C112"/>
    <mergeCell ref="A239:B239"/>
    <mergeCell ref="U156:U160"/>
    <mergeCell ref="U52:U56"/>
    <mergeCell ref="U230:U235"/>
    <mergeCell ref="U104:U109"/>
    <mergeCell ref="U180:U181"/>
    <mergeCell ref="U196:U197"/>
    <mergeCell ref="U214:U218"/>
    <mergeCell ref="W7:W10"/>
    <mergeCell ref="B277:E277"/>
    <mergeCell ref="B7:B10"/>
    <mergeCell ref="A269:F269"/>
    <mergeCell ref="R9:R10"/>
    <mergeCell ref="S7:S10"/>
    <mergeCell ref="Q9:Q10"/>
    <mergeCell ref="A100:B100"/>
    <mergeCell ref="F8:F10"/>
    <mergeCell ref="E8:E10"/>
    <mergeCell ref="N9:N10"/>
    <mergeCell ref="A6:W6"/>
    <mergeCell ref="C7:C10"/>
    <mergeCell ref="D7:D10"/>
    <mergeCell ref="M9:M10"/>
    <mergeCell ref="O9:O10"/>
    <mergeCell ref="V7:V10"/>
    <mergeCell ref="K9:K10"/>
    <mergeCell ref="U7:U10"/>
    <mergeCell ref="L9:L10"/>
    <mergeCell ref="I8:J8"/>
    <mergeCell ref="G9:G10"/>
    <mergeCell ref="H9:H10"/>
    <mergeCell ref="I9:I10"/>
    <mergeCell ref="J9:J10"/>
    <mergeCell ref="K8:L8"/>
    <mergeCell ref="M8:N8"/>
    <mergeCell ref="T7:T10"/>
    <mergeCell ref="Q8:R8"/>
    <mergeCell ref="A7:A10"/>
    <mergeCell ref="E7:F7"/>
    <mergeCell ref="O8:P8"/>
    <mergeCell ref="K7:R7"/>
    <mergeCell ref="P9:P10"/>
    <mergeCell ref="G7:J7"/>
    <mergeCell ref="G8:H8"/>
  </mergeCells>
  <conditionalFormatting sqref="G86:H91">
    <cfRule type="cellIs" priority="2" dxfId="3" operator="lessThanOrEqual" stopIfTrue="1">
      <formula>0</formula>
    </cfRule>
  </conditionalFormatting>
  <printOptions/>
  <pageMargins left="0.35433070866141736" right="0" top="0.5905511811023623" bottom="0.1968503937007874" header="0.3937007874015748" footer="0.15748031496062992"/>
  <pageSetup fitToHeight="4" fitToWidth="1" horizontalDpi="600" verticalDpi="600" orientation="landscape" paperSize="9" scale="3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P47"/>
  <sheetViews>
    <sheetView showZeros="0" view="pageBreakPreview" zoomScale="85" zoomScaleSheetLayoutView="85" workbookViewId="0" topLeftCell="A1">
      <selection activeCell="H29" sqref="H29"/>
    </sheetView>
  </sheetViews>
  <sheetFormatPr defaultColWidth="9.00390625" defaultRowHeight="12.75"/>
  <cols>
    <col min="1" max="1" width="5.25390625" style="7" customWidth="1"/>
    <col min="2" max="2" width="12.375" style="7" customWidth="1"/>
    <col min="3" max="3" width="32.375" style="7" customWidth="1"/>
    <col min="4" max="5" width="13.125" style="7" customWidth="1"/>
    <col min="6" max="6" width="11.25390625" style="7" customWidth="1"/>
    <col min="7" max="7" width="11.375" style="7" customWidth="1"/>
    <col min="8" max="8" width="11.875" style="7" customWidth="1"/>
    <col min="9" max="9" width="9.00390625" style="7" customWidth="1"/>
    <col min="10" max="10" width="11.375" style="7" customWidth="1"/>
    <col min="11" max="11" width="11.625" style="7" customWidth="1"/>
    <col min="12" max="12" width="11.25390625" style="7" customWidth="1"/>
    <col min="13" max="13" width="12.125" style="7" customWidth="1"/>
    <col min="14" max="14" width="12.375" style="7" customWidth="1"/>
    <col min="15" max="16384" width="9.125" style="7" customWidth="1"/>
  </cols>
  <sheetData>
    <row r="1" spans="1:14" s="8" customFormat="1" ht="27.75" customHeight="1">
      <c r="A1" s="857" t="s">
        <v>453</v>
      </c>
      <c r="B1" s="857"/>
      <c r="C1" s="857"/>
      <c r="D1" s="857"/>
      <c r="E1" s="857"/>
      <c r="F1" s="857"/>
      <c r="G1" s="857"/>
      <c r="H1" s="857"/>
      <c r="I1" s="857"/>
      <c r="J1" s="857"/>
      <c r="K1" s="857"/>
      <c r="L1" s="857"/>
      <c r="M1" s="857"/>
      <c r="N1" s="857"/>
    </row>
    <row r="2" spans="1:14" s="8" customFormat="1" ht="15" customHeight="1">
      <c r="A2" s="848" t="s">
        <v>457</v>
      </c>
      <c r="B2" s="848" t="s">
        <v>463</v>
      </c>
      <c r="C2" s="848"/>
      <c r="D2" s="865" t="s">
        <v>660</v>
      </c>
      <c r="E2" s="865"/>
      <c r="F2" s="848" t="s">
        <v>371</v>
      </c>
      <c r="G2" s="848"/>
      <c r="H2" s="848"/>
      <c r="I2" s="848"/>
      <c r="J2" s="848"/>
      <c r="K2" s="848"/>
      <c r="L2" s="848"/>
      <c r="M2" s="848"/>
      <c r="N2" s="848"/>
    </row>
    <row r="3" spans="1:14" s="8" customFormat="1" ht="27" customHeight="1">
      <c r="A3" s="848"/>
      <c r="B3" s="848"/>
      <c r="C3" s="848"/>
      <c r="D3" s="865"/>
      <c r="E3" s="865"/>
      <c r="F3" s="866">
        <v>2016</v>
      </c>
      <c r="G3" s="849"/>
      <c r="H3" s="849"/>
      <c r="I3" s="849"/>
      <c r="J3" s="849"/>
      <c r="K3" s="512">
        <v>2017</v>
      </c>
      <c r="L3" s="512">
        <v>2018</v>
      </c>
      <c r="M3" s="512">
        <v>2019</v>
      </c>
      <c r="N3" s="512">
        <v>2020</v>
      </c>
    </row>
    <row r="4" spans="1:14" s="8" customFormat="1" ht="15">
      <c r="A4" s="848"/>
      <c r="B4" s="848"/>
      <c r="C4" s="848"/>
      <c r="D4" s="848" t="s">
        <v>322</v>
      </c>
      <c r="E4" s="848" t="s">
        <v>460</v>
      </c>
      <c r="F4" s="848" t="s">
        <v>376</v>
      </c>
      <c r="G4" s="848"/>
      <c r="H4" s="848" t="s">
        <v>377</v>
      </c>
      <c r="I4" s="848"/>
      <c r="J4" s="848"/>
      <c r="K4" s="848" t="s">
        <v>37</v>
      </c>
      <c r="L4" s="848" t="s">
        <v>37</v>
      </c>
      <c r="M4" s="848" t="s">
        <v>37</v>
      </c>
      <c r="N4" s="848" t="s">
        <v>37</v>
      </c>
    </row>
    <row r="5" spans="1:14" s="8" customFormat="1" ht="21.75" customHeight="1">
      <c r="A5" s="848"/>
      <c r="B5" s="848"/>
      <c r="C5" s="848"/>
      <c r="D5" s="848"/>
      <c r="E5" s="848"/>
      <c r="F5" s="848"/>
      <c r="G5" s="848"/>
      <c r="H5" s="848" t="s">
        <v>468</v>
      </c>
      <c r="I5" s="848"/>
      <c r="J5" s="848" t="s">
        <v>379</v>
      </c>
      <c r="K5" s="848"/>
      <c r="L5" s="848"/>
      <c r="M5" s="848"/>
      <c r="N5" s="848"/>
    </row>
    <row r="6" spans="1:14" s="8" customFormat="1" ht="19.5" customHeight="1">
      <c r="A6" s="848"/>
      <c r="B6" s="848"/>
      <c r="C6" s="848"/>
      <c r="D6" s="848"/>
      <c r="E6" s="848"/>
      <c r="F6" s="513" t="s">
        <v>37</v>
      </c>
      <c r="G6" s="513" t="s">
        <v>460</v>
      </c>
      <c r="H6" s="513" t="s">
        <v>378</v>
      </c>
      <c r="I6" s="513" t="s">
        <v>460</v>
      </c>
      <c r="J6" s="848"/>
      <c r="K6" s="848"/>
      <c r="L6" s="848"/>
      <c r="M6" s="848"/>
      <c r="N6" s="848"/>
    </row>
    <row r="7" spans="1:14" s="8" customFormat="1" ht="12" customHeight="1">
      <c r="A7" s="513">
        <v>1</v>
      </c>
      <c r="B7" s="848">
        <v>2</v>
      </c>
      <c r="C7" s="848"/>
      <c r="D7" s="513">
        <v>3</v>
      </c>
      <c r="E7" s="513">
        <v>4</v>
      </c>
      <c r="F7" s="513">
        <v>5</v>
      </c>
      <c r="G7" s="513">
        <v>6</v>
      </c>
      <c r="H7" s="513">
        <v>7</v>
      </c>
      <c r="I7" s="513">
        <v>8</v>
      </c>
      <c r="J7" s="513">
        <v>9</v>
      </c>
      <c r="K7" s="513">
        <v>10</v>
      </c>
      <c r="L7" s="513">
        <v>11</v>
      </c>
      <c r="M7" s="513">
        <v>12</v>
      </c>
      <c r="N7" s="513">
        <v>13</v>
      </c>
    </row>
    <row r="8" spans="1:14" ht="41.25" customHeight="1">
      <c r="A8" s="141">
        <v>1</v>
      </c>
      <c r="B8" s="863" t="s">
        <v>550</v>
      </c>
      <c r="C8" s="863"/>
      <c r="D8" s="143">
        <f>SUM(D9,D15,D21,D25,D29)</f>
        <v>359840.5630351333</v>
      </c>
      <c r="E8" s="160">
        <f>IF(D34=0,0,D8/D34)</f>
        <v>0.9914474588531905</v>
      </c>
      <c r="F8" s="143">
        <f>SUM(F9,F15,F21,F25,F29)</f>
        <v>53772.55533333334</v>
      </c>
      <c r="G8" s="144">
        <f>IF(F34=0,0,F8/F34)</f>
        <v>0.9914474588531904</v>
      </c>
      <c r="H8" s="143">
        <f>SUM(H9,H15,H21,H25,H29)</f>
        <v>0.19999999999999998</v>
      </c>
      <c r="I8" s="161"/>
      <c r="J8" s="161"/>
      <c r="K8" s="143">
        <f>SUM(K9,K15,K21,K25,K29)</f>
        <v>64527.066399999996</v>
      </c>
      <c r="L8" s="143">
        <f>SUM(L9,L15,L21,L25,L29)</f>
        <v>74206.12636</v>
      </c>
      <c r="M8" s="162">
        <f>SUM(M9,M15,M21,M25,M29)</f>
        <v>81626.738996</v>
      </c>
      <c r="N8" s="162">
        <f>SUM(N9,N15,N21,N25,N29)</f>
        <v>85708.0759458</v>
      </c>
    </row>
    <row r="9" spans="1:14" ht="35.25" customHeight="1">
      <c r="A9" s="864" t="s">
        <v>38</v>
      </c>
      <c r="B9" s="862" t="s">
        <v>380</v>
      </c>
      <c r="C9" s="862"/>
      <c r="D9" s="143">
        <f>SUM(D10:D14)</f>
        <v>0</v>
      </c>
      <c r="E9" s="160">
        <f>IF(D34=0,0,D9/D34)</f>
        <v>0</v>
      </c>
      <c r="F9" s="143">
        <f>SUM(F10:F14)</f>
        <v>0</v>
      </c>
      <c r="G9" s="144">
        <f>IF(F34=0,0,F9/F34)</f>
        <v>0</v>
      </c>
      <c r="H9" s="143">
        <f>SUM(H10:H14)</f>
        <v>0</v>
      </c>
      <c r="I9" s="164"/>
      <c r="J9" s="164"/>
      <c r="K9" s="143">
        <f>SUM(K10:K14)</f>
        <v>0</v>
      </c>
      <c r="L9" s="143">
        <f>SUM(L10:L14)</f>
        <v>0</v>
      </c>
      <c r="M9" s="143">
        <f>SUM(M10:M14)</f>
        <v>0</v>
      </c>
      <c r="N9" s="143">
        <f>SUM(N10:N14)</f>
        <v>0</v>
      </c>
    </row>
    <row r="10" spans="1:14" ht="13.5" customHeight="1">
      <c r="A10" s="864"/>
      <c r="B10" s="165" t="s">
        <v>41</v>
      </c>
      <c r="C10" s="163" t="s">
        <v>82</v>
      </c>
      <c r="D10" s="143">
        <f>SUM(F10,K10:N10)</f>
        <v>0</v>
      </c>
      <c r="E10" s="160">
        <f>IF(D34=0,0,D10/D34)</f>
        <v>0</v>
      </c>
      <c r="F10" s="166"/>
      <c r="G10" s="144">
        <f>IF(F34=0,0,F10/F34)</f>
        <v>0</v>
      </c>
      <c r="H10" s="166"/>
      <c r="I10" s="164"/>
      <c r="J10" s="164"/>
      <c r="K10" s="166">
        <f>F10*1.5</f>
        <v>0</v>
      </c>
      <c r="L10" s="166">
        <f aca="true" t="shared" si="0" ref="L10:N12">K10*1.5</f>
        <v>0</v>
      </c>
      <c r="M10" s="166">
        <f t="shared" si="0"/>
        <v>0</v>
      </c>
      <c r="N10" s="166">
        <f t="shared" si="0"/>
        <v>0</v>
      </c>
    </row>
    <row r="11" spans="1:14" ht="13.5" customHeight="1">
      <c r="A11" s="864"/>
      <c r="B11" s="165" t="s">
        <v>414</v>
      </c>
      <c r="C11" s="163" t="s">
        <v>544</v>
      </c>
      <c r="D11" s="143">
        <f>SUM(F11,K11:N11)</f>
        <v>0</v>
      </c>
      <c r="E11" s="160">
        <f>IF(D34=0,0,D11/D34)</f>
        <v>0</v>
      </c>
      <c r="F11" s="166"/>
      <c r="G11" s="144">
        <f>IF(F34=0,0,F11/F34)</f>
        <v>0</v>
      </c>
      <c r="H11" s="166"/>
      <c r="I11" s="164"/>
      <c r="J11" s="164"/>
      <c r="K11" s="166">
        <f>F11*1.5</f>
        <v>0</v>
      </c>
      <c r="L11" s="166">
        <f t="shared" si="0"/>
        <v>0</v>
      </c>
      <c r="M11" s="166">
        <f>L11*1.1</f>
        <v>0</v>
      </c>
      <c r="N11" s="166">
        <f>M11*1.2</f>
        <v>0</v>
      </c>
    </row>
    <row r="12" spans="1:14" ht="13.5" customHeight="1">
      <c r="A12" s="864"/>
      <c r="B12" s="165" t="s">
        <v>415</v>
      </c>
      <c r="C12" s="163" t="s">
        <v>416</v>
      </c>
      <c r="D12" s="143">
        <f>SUM(F12,K12:N12)</f>
        <v>0</v>
      </c>
      <c r="E12" s="160">
        <f>IF(D34=0,0,D12/D34)</f>
        <v>0</v>
      </c>
      <c r="F12" s="166"/>
      <c r="G12" s="144">
        <f>IF(F34=0,0,F12/F34)</f>
        <v>0</v>
      </c>
      <c r="H12" s="166"/>
      <c r="I12" s="164"/>
      <c r="J12" s="164"/>
      <c r="K12" s="166">
        <f>F12*1.5</f>
        <v>0</v>
      </c>
      <c r="L12" s="166">
        <f t="shared" si="0"/>
        <v>0</v>
      </c>
      <c r="M12" s="166">
        <f t="shared" si="0"/>
        <v>0</v>
      </c>
      <c r="N12" s="166">
        <f t="shared" si="0"/>
        <v>0</v>
      </c>
    </row>
    <row r="13" spans="1:14" ht="14.25" customHeight="1">
      <c r="A13" s="864"/>
      <c r="B13" s="165" t="s">
        <v>552</v>
      </c>
      <c r="C13" s="163" t="s">
        <v>551</v>
      </c>
      <c r="D13" s="143">
        <f>SUM(F13,K13:N13)</f>
        <v>0</v>
      </c>
      <c r="E13" s="160">
        <f>IF(D34=0,0,D13/D34)</f>
        <v>0</v>
      </c>
      <c r="F13" s="166"/>
      <c r="G13" s="144">
        <f>IF(F34=0,0,F13/F34)</f>
        <v>0</v>
      </c>
      <c r="H13" s="166"/>
      <c r="I13" s="164"/>
      <c r="J13" s="164"/>
      <c r="K13" s="166">
        <f>F13*1.5</f>
        <v>0</v>
      </c>
      <c r="L13" s="166">
        <f aca="true" t="shared" si="1" ref="L13:N14">K13*1.5</f>
        <v>0</v>
      </c>
      <c r="M13" s="166">
        <f t="shared" si="1"/>
        <v>0</v>
      </c>
      <c r="N13" s="166">
        <f t="shared" si="1"/>
        <v>0</v>
      </c>
    </row>
    <row r="14" spans="1:14" ht="32.25" customHeight="1">
      <c r="A14" s="864"/>
      <c r="B14" s="165" t="s">
        <v>381</v>
      </c>
      <c r="C14" s="165" t="s">
        <v>382</v>
      </c>
      <c r="D14" s="143">
        <f>SUM(F14,K14:N14)</f>
        <v>0</v>
      </c>
      <c r="E14" s="144">
        <f>IF(D34=0,0,D14/D34)</f>
        <v>0</v>
      </c>
      <c r="F14" s="166"/>
      <c r="G14" s="144">
        <f>IF(F34=0,0,F14/F34)</f>
        <v>0</v>
      </c>
      <c r="H14" s="166"/>
      <c r="I14" s="164"/>
      <c r="J14" s="164"/>
      <c r="K14" s="166">
        <f>F14*1.5</f>
        <v>0</v>
      </c>
      <c r="L14" s="166">
        <f t="shared" si="1"/>
        <v>0</v>
      </c>
      <c r="M14" s="166">
        <f t="shared" si="1"/>
        <v>0</v>
      </c>
      <c r="N14" s="166">
        <f t="shared" si="1"/>
        <v>0</v>
      </c>
    </row>
    <row r="15" spans="1:14" ht="25.5" customHeight="1">
      <c r="A15" s="864" t="s">
        <v>39</v>
      </c>
      <c r="B15" s="864" t="s">
        <v>237</v>
      </c>
      <c r="C15" s="864"/>
      <c r="D15" s="143">
        <f>SUM(D16:D19)</f>
        <v>99841.26311483333</v>
      </c>
      <c r="E15" s="144">
        <f>IF(D34=0,0,D15/D34)</f>
        <v>0.27508673777344433</v>
      </c>
      <c r="F15" s="143">
        <f>SUM(F16:F19)</f>
        <v>14919.718333333334</v>
      </c>
      <c r="G15" s="144">
        <f>IF(F34=0,0,F15/F34)</f>
        <v>0.2750867377734443</v>
      </c>
      <c r="H15" s="143">
        <f>SUM(H16:H20)</f>
        <v>0</v>
      </c>
      <c r="I15" s="161"/>
      <c r="J15" s="161"/>
      <c r="K15" s="143">
        <f>SUM(K16:K19)</f>
        <v>17903.662</v>
      </c>
      <c r="L15" s="143">
        <f>SUM(L16:L19)</f>
        <v>20589.2113</v>
      </c>
      <c r="M15" s="143">
        <f>SUM(M16:M19)</f>
        <v>22648.13243</v>
      </c>
      <c r="N15" s="143">
        <f>SUM(N16:N19)</f>
        <v>23780.539051500004</v>
      </c>
    </row>
    <row r="16" spans="1:14" ht="15">
      <c r="A16" s="864"/>
      <c r="B16" s="163" t="s">
        <v>483</v>
      </c>
      <c r="C16" s="163" t="s">
        <v>83</v>
      </c>
      <c r="D16" s="143">
        <f>SUM(F16,K16:N16)</f>
        <v>0</v>
      </c>
      <c r="E16" s="144">
        <f>IF(D34=0,0,D16/D34)</f>
        <v>0</v>
      </c>
      <c r="F16" s="166"/>
      <c r="G16" s="144">
        <f>IF(F34=0,0,F16/F34)</f>
        <v>0</v>
      </c>
      <c r="H16" s="166"/>
      <c r="I16" s="164"/>
      <c r="J16" s="164"/>
      <c r="K16" s="166">
        <f>F16*1.2</f>
        <v>0</v>
      </c>
      <c r="L16" s="166">
        <f>K16*1.15</f>
        <v>0</v>
      </c>
      <c r="M16" s="166">
        <f>L16*1.1</f>
        <v>0</v>
      </c>
      <c r="N16" s="166">
        <f>M16*1.05</f>
        <v>0</v>
      </c>
    </row>
    <row r="17" spans="1:14" ht="23.25" customHeight="1">
      <c r="A17" s="864"/>
      <c r="B17" s="163" t="s">
        <v>534</v>
      </c>
      <c r="C17" s="163" t="s">
        <v>544</v>
      </c>
      <c r="D17" s="143">
        <f>SUM(F17,K17:N17)</f>
        <v>0</v>
      </c>
      <c r="E17" s="144">
        <f>IF(D34=0,0,D17/D34)</f>
        <v>0</v>
      </c>
      <c r="F17" s="166">
        <f>'6. Пров закупівлі'!F21</f>
        <v>0</v>
      </c>
      <c r="G17" s="144">
        <f>IF(F34=0,0,F17/F34)</f>
        <v>0</v>
      </c>
      <c r="H17" s="166"/>
      <c r="I17" s="164"/>
      <c r="J17" s="164"/>
      <c r="K17" s="166">
        <f>F17*1.2</f>
        <v>0</v>
      </c>
      <c r="L17" s="166">
        <f>K17*1.15</f>
        <v>0</v>
      </c>
      <c r="M17" s="166">
        <f>L17*1.1</f>
        <v>0</v>
      </c>
      <c r="N17" s="166">
        <f>M17*1.05</f>
        <v>0</v>
      </c>
    </row>
    <row r="18" spans="1:14" ht="25.5" customHeight="1">
      <c r="A18" s="864"/>
      <c r="B18" s="163" t="s">
        <v>484</v>
      </c>
      <c r="C18" s="163" t="s">
        <v>416</v>
      </c>
      <c r="D18" s="143">
        <f>SUM(F18,K18:N18)</f>
        <v>50954.736441</v>
      </c>
      <c r="E18" s="144">
        <f>IF(D34=0,0,D18/D34)</f>
        <v>0.14039257702037072</v>
      </c>
      <c r="F18" s="166">
        <f>'6. Пров закупівлі'!F24</f>
        <v>7614.39</v>
      </c>
      <c r="G18" s="144">
        <f>IF(F34=0,0,F18/F34)</f>
        <v>0.1403925770203707</v>
      </c>
      <c r="H18" s="166"/>
      <c r="I18" s="164"/>
      <c r="J18" s="164"/>
      <c r="K18" s="166">
        <f>F18*1.2</f>
        <v>9137.268</v>
      </c>
      <c r="L18" s="166">
        <f>K18*1.15</f>
        <v>10507.858199999999</v>
      </c>
      <c r="M18" s="166">
        <f>L18*1.1</f>
        <v>11558.64402</v>
      </c>
      <c r="N18" s="166">
        <f>M18*1.05</f>
        <v>12136.576221</v>
      </c>
    </row>
    <row r="19" spans="1:14" ht="15" customHeight="1">
      <c r="A19" s="864"/>
      <c r="B19" s="165" t="s">
        <v>485</v>
      </c>
      <c r="C19" s="163" t="s">
        <v>551</v>
      </c>
      <c r="D19" s="143">
        <f>SUM(F19,K19:N19)</f>
        <v>48886.52667383334</v>
      </c>
      <c r="E19" s="144">
        <f>IF(D34=0,0,D19/D34)</f>
        <v>0.13469416075307364</v>
      </c>
      <c r="F19" s="166">
        <f>'6. Пров закупівлі'!F31</f>
        <v>7305.328333333334</v>
      </c>
      <c r="G19" s="144">
        <f>IF(F34=0,0,F19/F34)</f>
        <v>0.1346941607530736</v>
      </c>
      <c r="H19" s="166"/>
      <c r="I19" s="164"/>
      <c r="J19" s="164"/>
      <c r="K19" s="166">
        <f>F19*1.2</f>
        <v>8766.394</v>
      </c>
      <c r="L19" s="166">
        <f>K19*1.15</f>
        <v>10081.3531</v>
      </c>
      <c r="M19" s="166">
        <f>L19*1.1</f>
        <v>11089.488410000002</v>
      </c>
      <c r="N19" s="166">
        <f>M19*1.05</f>
        <v>11643.962830500002</v>
      </c>
    </row>
    <row r="20" spans="1:14" ht="31.5" customHeight="1">
      <c r="A20" s="864"/>
      <c r="B20" s="165" t="s">
        <v>238</v>
      </c>
      <c r="C20" s="165" t="s">
        <v>382</v>
      </c>
      <c r="D20" s="143">
        <f>SUM(F20,K20:N20)</f>
        <v>48886.52667383334</v>
      </c>
      <c r="E20" s="144">
        <f>IF(D34=0,0,D20/D34)</f>
        <v>0.13469416075307364</v>
      </c>
      <c r="F20" s="166">
        <f>'6. Пров закупівлі'!F31</f>
        <v>7305.328333333334</v>
      </c>
      <c r="G20" s="144">
        <f>IF(F34=0,0,F20/F34)</f>
        <v>0.1346941607530736</v>
      </c>
      <c r="H20" s="166"/>
      <c r="I20" s="164"/>
      <c r="J20" s="164"/>
      <c r="K20" s="166">
        <f>F20*1.2</f>
        <v>8766.394</v>
      </c>
      <c r="L20" s="166">
        <f>K20*1.15</f>
        <v>10081.3531</v>
      </c>
      <c r="M20" s="166">
        <f>L20*1.1</f>
        <v>11089.488410000002</v>
      </c>
      <c r="N20" s="166">
        <f>M20*1.05</f>
        <v>11643.962830500002</v>
      </c>
    </row>
    <row r="21" spans="1:16" s="3" customFormat="1" ht="31.5" customHeight="1">
      <c r="A21" s="864" t="s">
        <v>401</v>
      </c>
      <c r="B21" s="864" t="s">
        <v>239</v>
      </c>
      <c r="C21" s="864"/>
      <c r="D21" s="143">
        <f>SUM(D22:D24)</f>
        <v>0</v>
      </c>
      <c r="E21" s="144">
        <f>IF(D34=0,0,D21/D34)</f>
        <v>0</v>
      </c>
      <c r="F21" s="143">
        <f>SUM(F22:F24)</f>
        <v>0</v>
      </c>
      <c r="G21" s="144">
        <f>IF(F34=0,0,F21/F34)</f>
        <v>0</v>
      </c>
      <c r="H21" s="143">
        <f>SUM(H22:H24)</f>
        <v>0</v>
      </c>
      <c r="I21" s="161"/>
      <c r="J21" s="161"/>
      <c r="K21" s="143">
        <f>SUM(K22:K24)</f>
        <v>0</v>
      </c>
      <c r="L21" s="143">
        <f>SUM(L22:L24)</f>
        <v>0</v>
      </c>
      <c r="M21" s="143">
        <f>SUM(M22:M24)</f>
        <v>0</v>
      </c>
      <c r="N21" s="143">
        <f>SUM(N22:N24)</f>
        <v>0</v>
      </c>
      <c r="P21" s="7"/>
    </row>
    <row r="22" spans="1:16" s="3" customFormat="1" ht="15">
      <c r="A22" s="864"/>
      <c r="B22" s="163" t="s">
        <v>240</v>
      </c>
      <c r="C22" s="163" t="s">
        <v>82</v>
      </c>
      <c r="D22" s="143">
        <f>SUM(F22,J22:M22)</f>
        <v>0</v>
      </c>
      <c r="E22" s="144">
        <f>IF(D34=0,0,D22/D34)</f>
        <v>0</v>
      </c>
      <c r="F22" s="166"/>
      <c r="G22" s="144">
        <f>IF(F34=0,0,F22/F34)</f>
        <v>0</v>
      </c>
      <c r="H22" s="166"/>
      <c r="I22" s="164"/>
      <c r="J22" s="166"/>
      <c r="K22" s="166">
        <f>F22*1.5</f>
        <v>0</v>
      </c>
      <c r="L22" s="166">
        <f aca="true" t="shared" si="2" ref="L22:N24">K22*1.5</f>
        <v>0</v>
      </c>
      <c r="M22" s="166">
        <f t="shared" si="2"/>
        <v>0</v>
      </c>
      <c r="N22" s="167">
        <f t="shared" si="2"/>
        <v>0</v>
      </c>
      <c r="P22" s="7"/>
    </row>
    <row r="23" spans="1:16" s="3" customFormat="1" ht="15">
      <c r="A23" s="864"/>
      <c r="B23" s="163" t="s">
        <v>241</v>
      </c>
      <c r="C23" s="163" t="s">
        <v>544</v>
      </c>
      <c r="D23" s="143">
        <f>SUM(F23,K23:N23)</f>
        <v>0</v>
      </c>
      <c r="E23" s="144">
        <f>IF(D34=0,0,D23/D34)</f>
        <v>0</v>
      </c>
      <c r="F23" s="166"/>
      <c r="G23" s="144">
        <f>IF(F34=0,0,F23/F34)</f>
        <v>0</v>
      </c>
      <c r="H23" s="166"/>
      <c r="I23" s="164"/>
      <c r="J23" s="166"/>
      <c r="K23" s="166"/>
      <c r="L23" s="166"/>
      <c r="M23" s="166"/>
      <c r="N23" s="166"/>
      <c r="P23" s="7"/>
    </row>
    <row r="24" spans="1:16" s="3" customFormat="1" ht="17.25" customHeight="1">
      <c r="A24" s="864"/>
      <c r="B24" s="163" t="s">
        <v>482</v>
      </c>
      <c r="C24" s="163" t="s">
        <v>416</v>
      </c>
      <c r="D24" s="143">
        <f>SUM(F24,J24:M24)</f>
        <v>0</v>
      </c>
      <c r="E24" s="144">
        <f>IF(D34=0,0,D24/D34)</f>
        <v>0</v>
      </c>
      <c r="F24" s="166"/>
      <c r="G24" s="144">
        <f>IF(F34=0,0,F24/F34)</f>
        <v>0</v>
      </c>
      <c r="H24" s="166"/>
      <c r="I24" s="164"/>
      <c r="J24" s="166"/>
      <c r="K24" s="166">
        <f>F24*1.5</f>
        <v>0</v>
      </c>
      <c r="L24" s="166">
        <f t="shared" si="2"/>
        <v>0</v>
      </c>
      <c r="M24" s="166">
        <f t="shared" si="2"/>
        <v>0</v>
      </c>
      <c r="N24" s="167">
        <f t="shared" si="2"/>
        <v>0</v>
      </c>
      <c r="P24" s="7"/>
    </row>
    <row r="25" spans="1:16" s="3" customFormat="1" ht="25.5" customHeight="1">
      <c r="A25" s="864" t="s">
        <v>402</v>
      </c>
      <c r="B25" s="864" t="s">
        <v>242</v>
      </c>
      <c r="C25" s="864"/>
      <c r="D25" s="143">
        <f>SUM(D26:D28)</f>
        <v>0</v>
      </c>
      <c r="E25" s="144">
        <f>IF(D34=0,0,D25/D34)</f>
        <v>0</v>
      </c>
      <c r="F25" s="143">
        <f>SUM(F26:F28)</f>
        <v>0</v>
      </c>
      <c r="G25" s="144">
        <f>IF(F34=0,0,F25/F34)</f>
        <v>0</v>
      </c>
      <c r="H25" s="143">
        <f>SUM(H26:H28)</f>
        <v>0</v>
      </c>
      <c r="I25" s="161"/>
      <c r="J25" s="161"/>
      <c r="K25" s="143">
        <f>SUM(K26:K28)</f>
        <v>0</v>
      </c>
      <c r="L25" s="143">
        <f>SUM(L26:L28)</f>
        <v>0</v>
      </c>
      <c r="M25" s="143">
        <f>SUM(M26:M28)</f>
        <v>0</v>
      </c>
      <c r="N25" s="143">
        <f>SUM(N26:N28)</f>
        <v>0</v>
      </c>
      <c r="P25" s="7"/>
    </row>
    <row r="26" spans="1:16" s="3" customFormat="1" ht="15">
      <c r="A26" s="864"/>
      <c r="B26" s="163" t="s">
        <v>243</v>
      </c>
      <c r="C26" s="163" t="s">
        <v>83</v>
      </c>
      <c r="D26" s="143">
        <f>SUM(F26,K26:N26)</f>
        <v>0</v>
      </c>
      <c r="E26" s="144">
        <f>IF(D34=0,0,D26/D34)</f>
        <v>0</v>
      </c>
      <c r="F26" s="166">
        <f>'6. Пров закупівлі'!F37</f>
        <v>0</v>
      </c>
      <c r="G26" s="144">
        <f>IF(F34=0,0,F26/F34)</f>
        <v>0</v>
      </c>
      <c r="H26" s="166"/>
      <c r="I26" s="164"/>
      <c r="J26" s="166"/>
      <c r="K26" s="166">
        <f>F26*1.2</f>
        <v>0</v>
      </c>
      <c r="L26" s="166">
        <f>K26*1.15</f>
        <v>0</v>
      </c>
      <c r="M26" s="166">
        <f>L26*1.1</f>
        <v>0</v>
      </c>
      <c r="N26" s="166">
        <f>M26*1.05</f>
        <v>0</v>
      </c>
      <c r="P26" s="7"/>
    </row>
    <row r="27" spans="1:16" s="3" customFormat="1" ht="15">
      <c r="A27" s="864"/>
      <c r="B27" s="163" t="s">
        <v>244</v>
      </c>
      <c r="C27" s="163" t="s">
        <v>544</v>
      </c>
      <c r="D27" s="143">
        <f>SUM(F27,K27:N27)</f>
        <v>0</v>
      </c>
      <c r="E27" s="144">
        <f>IF(D34=0,0,D27/D34)</f>
        <v>0</v>
      </c>
      <c r="F27" s="166"/>
      <c r="G27" s="144">
        <f>IF(F34=0,0,F27/F34)</f>
        <v>0</v>
      </c>
      <c r="H27" s="166"/>
      <c r="I27" s="164"/>
      <c r="J27" s="166"/>
      <c r="K27" s="166"/>
      <c r="L27" s="166"/>
      <c r="M27" s="166"/>
      <c r="N27" s="166"/>
      <c r="P27" s="7"/>
    </row>
    <row r="28" spans="1:16" s="3" customFormat="1" ht="15">
      <c r="A28" s="864"/>
      <c r="B28" s="163" t="s">
        <v>245</v>
      </c>
      <c r="C28" s="163" t="s">
        <v>416</v>
      </c>
      <c r="D28" s="143">
        <f>SUM(F28,K28:N28)</f>
        <v>0</v>
      </c>
      <c r="E28" s="144">
        <f>IF(D34=0,0,D28/D34)</f>
        <v>0</v>
      </c>
      <c r="F28" s="166"/>
      <c r="G28" s="144">
        <f>IF(F34=0,0,F28/F34)</f>
        <v>0</v>
      </c>
      <c r="H28" s="166"/>
      <c r="I28" s="164"/>
      <c r="J28" s="166"/>
      <c r="K28" s="166"/>
      <c r="L28" s="166"/>
      <c r="M28" s="166"/>
      <c r="N28" s="166"/>
      <c r="P28" s="7"/>
    </row>
    <row r="29" spans="1:16" s="3" customFormat="1" ht="27" customHeight="1">
      <c r="A29" s="864" t="s">
        <v>403</v>
      </c>
      <c r="B29" s="864" t="s">
        <v>486</v>
      </c>
      <c r="C29" s="864"/>
      <c r="D29" s="143">
        <f>SUM(D30:D32)</f>
        <v>259999.2999203</v>
      </c>
      <c r="E29" s="144">
        <f>IF(D34=0,0,D29/D34)</f>
        <v>0.7163607210797462</v>
      </c>
      <c r="F29" s="143">
        <f>SUM(F30:F32)</f>
        <v>38852.837</v>
      </c>
      <c r="G29" s="144">
        <f>IF(F34=0,0,F29/F34)</f>
        <v>0.716360721079746</v>
      </c>
      <c r="H29" s="138">
        <f>SUM(H30:H32)</f>
        <v>0.19999999999999998</v>
      </c>
      <c r="I29" s="161"/>
      <c r="J29" s="161"/>
      <c r="K29" s="143">
        <f>SUM(K30:K32)</f>
        <v>46623.40439999999</v>
      </c>
      <c r="L29" s="143">
        <f>SUM(L30:L32)</f>
        <v>53616.91505999999</v>
      </c>
      <c r="M29" s="143">
        <f>SUM(M30:M32)</f>
        <v>58978.606566</v>
      </c>
      <c r="N29" s="143">
        <f>SUM(N30:N32)</f>
        <v>61927.5368943</v>
      </c>
      <c r="P29" s="7"/>
    </row>
    <row r="30" spans="1:16" s="3" customFormat="1" ht="15">
      <c r="A30" s="864"/>
      <c r="B30" s="163" t="s">
        <v>487</v>
      </c>
      <c r="C30" s="163" t="s">
        <v>83</v>
      </c>
      <c r="D30" s="143">
        <f>SUM(F30,K30:N30)</f>
        <v>207445.07892509998</v>
      </c>
      <c r="E30" s="144">
        <f>IF(D34=0,0,D30/D34)</f>
        <v>0.5715611786984923</v>
      </c>
      <c r="F30" s="166">
        <f>'6. Пров закупівлі'!F43</f>
        <v>30999.428999999996</v>
      </c>
      <c r="G30" s="144">
        <f>IF(F34=0,0,F30/F34)</f>
        <v>0.5715611786984922</v>
      </c>
      <c r="H30" s="166">
        <v>0.02</v>
      </c>
      <c r="I30" s="164"/>
      <c r="J30" s="166"/>
      <c r="K30" s="166">
        <f>F30*1.2</f>
        <v>37199.31479999999</v>
      </c>
      <c r="L30" s="166">
        <f>K30*1.15</f>
        <v>42779.21201999999</v>
      </c>
      <c r="M30" s="166">
        <f>L30*1.1</f>
        <v>47057.133222</v>
      </c>
      <c r="N30" s="166">
        <f>M30*1.05</f>
        <v>49409.989883099995</v>
      </c>
      <c r="P30" s="7"/>
    </row>
    <row r="31" spans="1:16" s="3" customFormat="1" ht="15">
      <c r="A31" s="864"/>
      <c r="B31" s="163" t="s">
        <v>488</v>
      </c>
      <c r="C31" s="163" t="s">
        <v>544</v>
      </c>
      <c r="D31" s="143">
        <f>SUM(F31,K31:N31)</f>
        <v>52554.22099520001</v>
      </c>
      <c r="E31" s="144">
        <f>IF(D34=0,0,D31/D34)</f>
        <v>0.1447995423812539</v>
      </c>
      <c r="F31" s="166">
        <f>'6. Пров закупівлі'!F57</f>
        <v>7853.408000000001</v>
      </c>
      <c r="G31" s="144">
        <f>IF(F34=0,0,F31/F34)</f>
        <v>0.14479954238125384</v>
      </c>
      <c r="H31" s="166">
        <f>0.02+0.16</f>
        <v>0.18</v>
      </c>
      <c r="I31" s="164"/>
      <c r="J31" s="166"/>
      <c r="K31" s="166">
        <f>F31*1.2</f>
        <v>9424.089600000001</v>
      </c>
      <c r="L31" s="166">
        <f>K31*1.15</f>
        <v>10837.70304</v>
      </c>
      <c r="M31" s="166">
        <f>L31*1.1</f>
        <v>11921.473344000002</v>
      </c>
      <c r="N31" s="166">
        <f>M31*1.05</f>
        <v>12517.547011200002</v>
      </c>
      <c r="P31" s="7"/>
    </row>
    <row r="32" spans="1:16" s="3" customFormat="1" ht="15">
      <c r="A32" s="864"/>
      <c r="B32" s="163" t="s">
        <v>246</v>
      </c>
      <c r="C32" s="163" t="s">
        <v>416</v>
      </c>
      <c r="D32" s="143">
        <f>SUM(F32,K32:N32)</f>
        <v>0</v>
      </c>
      <c r="E32" s="144">
        <f>IF(D34=0,0,D32/D34)</f>
        <v>0</v>
      </c>
      <c r="F32" s="166"/>
      <c r="G32" s="144">
        <f>IF(F34=0,0,F32/F34)</f>
        <v>0</v>
      </c>
      <c r="H32" s="168"/>
      <c r="I32" s="164"/>
      <c r="J32" s="166"/>
      <c r="K32" s="166"/>
      <c r="L32" s="166"/>
      <c r="M32" s="166"/>
      <c r="N32" s="166"/>
      <c r="P32" s="7"/>
    </row>
    <row r="33" spans="1:14" ht="24.75" customHeight="1">
      <c r="A33" s="163" t="s">
        <v>64</v>
      </c>
      <c r="B33" s="862" t="s">
        <v>462</v>
      </c>
      <c r="C33" s="862"/>
      <c r="D33" s="143">
        <f>SUM(F33,K33:N33)</f>
        <v>3104.0991574166665</v>
      </c>
      <c r="E33" s="144">
        <f>IF(D34=0,0,D33/D34)</f>
        <v>0.008552541146809523</v>
      </c>
      <c r="F33" s="166">
        <f>'6. Пров закупівлі'!F72</f>
        <v>463.8591666666667</v>
      </c>
      <c r="G33" s="144">
        <f>IF(F34=0,0,F33/F34)</f>
        <v>0.008552541146809523</v>
      </c>
      <c r="H33" s="166"/>
      <c r="I33" s="164"/>
      <c r="J33" s="164"/>
      <c r="K33" s="166">
        <f>F33*1.2</f>
        <v>556.631</v>
      </c>
      <c r="L33" s="166">
        <f>K33*1.15</f>
        <v>640.12565</v>
      </c>
      <c r="M33" s="166">
        <f>L33*1.1</f>
        <v>704.138215</v>
      </c>
      <c r="N33" s="166">
        <f>M33*1.05</f>
        <v>739.34512575</v>
      </c>
    </row>
    <row r="34" spans="1:14" ht="25.5" customHeight="1">
      <c r="A34" s="169"/>
      <c r="B34" s="862" t="s">
        <v>525</v>
      </c>
      <c r="C34" s="862"/>
      <c r="D34" s="143">
        <f>SUM(D8,D33)</f>
        <v>362944.66219254996</v>
      </c>
      <c r="E34" s="144">
        <f>SUM(E8,E33)</f>
        <v>1</v>
      </c>
      <c r="F34" s="143">
        <f>SUM(F8,F33)</f>
        <v>54236.414500000006</v>
      </c>
      <c r="G34" s="144">
        <f>SUM(G8,G33)</f>
        <v>0.9999999999999999</v>
      </c>
      <c r="H34" s="143">
        <f>SUM(H8,H33)</f>
        <v>0.19999999999999998</v>
      </c>
      <c r="I34" s="164"/>
      <c r="J34" s="164"/>
      <c r="K34" s="143">
        <f>SUM(K8,K33)</f>
        <v>65083.6974</v>
      </c>
      <c r="L34" s="143">
        <f>SUM(L8,L33)</f>
        <v>74846.25201</v>
      </c>
      <c r="M34" s="143">
        <f>SUM(M8,M33)</f>
        <v>82330.877211</v>
      </c>
      <c r="N34" s="143">
        <f>SUM(N8,N33)</f>
        <v>86447.42107155</v>
      </c>
    </row>
    <row r="35" spans="1:14" s="8" customFormat="1" ht="12.75">
      <c r="A35" s="530"/>
      <c r="B35" s="531"/>
      <c r="C35" s="531"/>
      <c r="D35" s="531"/>
      <c r="E35" s="531"/>
      <c r="F35" s="531"/>
      <c r="G35" s="531"/>
      <c r="H35" s="531"/>
      <c r="I35" s="531"/>
      <c r="J35" s="531"/>
      <c r="K35" s="531"/>
      <c r="L35" s="531"/>
      <c r="M35" s="531"/>
      <c r="N35" s="531"/>
    </row>
    <row r="36" spans="1:14" ht="12.75">
      <c r="A36" s="47"/>
      <c r="K36" s="46"/>
      <c r="L36" s="46"/>
      <c r="M36" s="46"/>
      <c r="N36" s="46"/>
    </row>
    <row r="37" spans="11:14" ht="12.75">
      <c r="K37" s="46"/>
      <c r="L37" s="46"/>
      <c r="M37" s="46"/>
      <c r="N37" s="46"/>
    </row>
    <row r="38" spans="11:14" ht="12.75">
      <c r="K38" s="46"/>
      <c r="L38" s="46"/>
      <c r="M38" s="46"/>
      <c r="N38" s="46"/>
    </row>
    <row r="39" spans="11:14" ht="12.75">
      <c r="K39" s="46"/>
      <c r="L39" s="46"/>
      <c r="M39" s="46"/>
      <c r="N39" s="46"/>
    </row>
    <row r="40" spans="11:14" ht="12.75">
      <c r="K40" s="46"/>
      <c r="L40" s="46"/>
      <c r="M40" s="46"/>
      <c r="N40" s="46"/>
    </row>
    <row r="41" spans="11:14" ht="12.75">
      <c r="K41" s="46"/>
      <c r="L41" s="46"/>
      <c r="M41" s="46"/>
      <c r="N41" s="46"/>
    </row>
    <row r="42" ht="12.75">
      <c r="L42" s="46"/>
    </row>
    <row r="43" spans="11:14" ht="12.75">
      <c r="K43" s="46"/>
      <c r="M43" s="46"/>
      <c r="N43" s="46"/>
    </row>
    <row r="44" ht="12.75">
      <c r="N44" s="46"/>
    </row>
    <row r="46" spans="12:14" ht="12.75">
      <c r="L46" s="46"/>
      <c r="M46" s="46"/>
      <c r="N46" s="46"/>
    </row>
    <row r="47" ht="12.75">
      <c r="L47" s="46"/>
    </row>
  </sheetData>
  <sheetProtection/>
  <mergeCells count="30">
    <mergeCell ref="M4:M6"/>
    <mergeCell ref="F4:G5"/>
    <mergeCell ref="K4:K6"/>
    <mergeCell ref="A29:A32"/>
    <mergeCell ref="B29:C29"/>
    <mergeCell ref="A15:A20"/>
    <mergeCell ref="A9:A14"/>
    <mergeCell ref="A21:A24"/>
    <mergeCell ref="A25:A28"/>
    <mergeCell ref="H4:J4"/>
    <mergeCell ref="A1:N1"/>
    <mergeCell ref="A2:A6"/>
    <mergeCell ref="B2:C6"/>
    <mergeCell ref="D2:E3"/>
    <mergeCell ref="F2:N2"/>
    <mergeCell ref="N4:N6"/>
    <mergeCell ref="L4:L6"/>
    <mergeCell ref="F3:J3"/>
    <mergeCell ref="J5:J6"/>
    <mergeCell ref="H5:I5"/>
    <mergeCell ref="B34:C34"/>
    <mergeCell ref="B33:C33"/>
    <mergeCell ref="D4:D6"/>
    <mergeCell ref="E4:E6"/>
    <mergeCell ref="B9:C9"/>
    <mergeCell ref="B7:C7"/>
    <mergeCell ref="B8:C8"/>
    <mergeCell ref="B21:C21"/>
    <mergeCell ref="B25:C25"/>
    <mergeCell ref="B15:C15"/>
  </mergeCells>
  <printOptions/>
  <pageMargins left="1.0236220472440944" right="0.4330708661417323" top="0.8267716535433072" bottom="0.15748031496062992" header="0.3937007874015748" footer="0.275590551181102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6"/>
  <sheetViews>
    <sheetView view="pageBreakPreview" zoomScaleNormal="87" zoomScaleSheetLayoutView="100" zoomScalePageLayoutView="0" workbookViewId="0" topLeftCell="A1">
      <selection activeCell="K92" sqref="K92"/>
    </sheetView>
  </sheetViews>
  <sheetFormatPr defaultColWidth="9.00390625" defaultRowHeight="12.75"/>
  <cols>
    <col min="1" max="1" width="8.125" style="32" customWidth="1"/>
    <col min="2" max="2" width="16.25390625" style="32" customWidth="1"/>
    <col min="3" max="3" width="45.875" style="32" customWidth="1"/>
    <col min="4" max="4" width="18.125" style="32" customWidth="1"/>
    <col min="5" max="5" width="19.375" style="32" customWidth="1"/>
    <col min="6" max="6" width="20.00390625" style="32" customWidth="1"/>
    <col min="7" max="7" width="22.875" style="32" customWidth="1"/>
    <col min="8" max="8" width="19.375" style="32" customWidth="1"/>
    <col min="9" max="9" width="19.625" style="32" customWidth="1"/>
    <col min="10" max="10" width="13.625" style="32" customWidth="1"/>
    <col min="11" max="16384" width="9.125" style="32" customWidth="1"/>
  </cols>
  <sheetData>
    <row r="1" spans="1:18" ht="33.75" customHeight="1">
      <c r="A1" s="867" t="s">
        <v>247</v>
      </c>
      <c r="B1" s="867"/>
      <c r="C1" s="868"/>
      <c r="D1" s="868"/>
      <c r="E1" s="868"/>
      <c r="F1" s="868"/>
      <c r="G1" s="868"/>
      <c r="H1" s="868"/>
      <c r="I1" s="868"/>
      <c r="J1" s="868"/>
      <c r="K1" s="33"/>
      <c r="L1" s="33"/>
      <c r="M1" s="33"/>
      <c r="N1" s="33"/>
      <c r="O1" s="33"/>
      <c r="P1" s="33"/>
      <c r="Q1" s="33"/>
      <c r="R1" s="33"/>
    </row>
    <row r="2" spans="1:10" ht="28.5" customHeight="1">
      <c r="A2" s="872" t="s">
        <v>457</v>
      </c>
      <c r="B2" s="872" t="s">
        <v>248</v>
      </c>
      <c r="C2" s="872" t="s">
        <v>443</v>
      </c>
      <c r="D2" s="872" t="s">
        <v>323</v>
      </c>
      <c r="E2" s="871" t="s">
        <v>449</v>
      </c>
      <c r="F2" s="871"/>
      <c r="G2" s="869" t="s">
        <v>59</v>
      </c>
      <c r="H2" s="871" t="s">
        <v>417</v>
      </c>
      <c r="I2" s="869" t="s">
        <v>84</v>
      </c>
      <c r="J2" s="870" t="s">
        <v>540</v>
      </c>
    </row>
    <row r="3" spans="1:10" ht="34.5" customHeight="1">
      <c r="A3" s="872"/>
      <c r="B3" s="872"/>
      <c r="C3" s="872"/>
      <c r="D3" s="872"/>
      <c r="E3" s="171" t="s">
        <v>72</v>
      </c>
      <c r="F3" s="171" t="s">
        <v>324</v>
      </c>
      <c r="G3" s="869"/>
      <c r="H3" s="871"/>
      <c r="I3" s="869"/>
      <c r="J3" s="870"/>
    </row>
    <row r="4" spans="1:10" ht="15">
      <c r="A4" s="170">
        <v>1</v>
      </c>
      <c r="B4" s="170">
        <v>2</v>
      </c>
      <c r="C4" s="170">
        <v>3</v>
      </c>
      <c r="D4" s="170">
        <v>4</v>
      </c>
      <c r="E4" s="170">
        <v>5</v>
      </c>
      <c r="F4" s="170">
        <v>6</v>
      </c>
      <c r="G4" s="170">
        <v>7</v>
      </c>
      <c r="H4" s="170">
        <v>8</v>
      </c>
      <c r="I4" s="170">
        <v>9</v>
      </c>
      <c r="J4" s="173">
        <v>10</v>
      </c>
    </row>
    <row r="5" spans="1:10" ht="15" hidden="1">
      <c r="A5" s="174" t="s">
        <v>40</v>
      </c>
      <c r="B5" s="175"/>
      <c r="C5" s="176" t="s">
        <v>76</v>
      </c>
      <c r="D5" s="177"/>
      <c r="E5" s="178"/>
      <c r="F5" s="179">
        <f>F6+F8</f>
        <v>0</v>
      </c>
      <c r="G5" s="178"/>
      <c r="H5" s="178"/>
      <c r="I5" s="180"/>
      <c r="J5" s="181"/>
    </row>
    <row r="6" spans="1:10" ht="15" hidden="1">
      <c r="A6" s="174" t="s">
        <v>38</v>
      </c>
      <c r="B6" s="175"/>
      <c r="C6" s="182" t="s">
        <v>77</v>
      </c>
      <c r="D6" s="170"/>
      <c r="E6" s="178"/>
      <c r="F6" s="178"/>
      <c r="G6" s="178"/>
      <c r="H6" s="178"/>
      <c r="I6" s="180"/>
      <c r="J6" s="181"/>
    </row>
    <row r="7" spans="1:10" ht="15" hidden="1">
      <c r="A7" s="174" t="s">
        <v>41</v>
      </c>
      <c r="B7" s="175"/>
      <c r="C7" s="181"/>
      <c r="D7" s="170"/>
      <c r="E7" s="183"/>
      <c r="F7" s="183"/>
      <c r="G7" s="183"/>
      <c r="H7" s="183"/>
      <c r="I7" s="184"/>
      <c r="J7" s="181"/>
    </row>
    <row r="8" spans="1:10" ht="15" hidden="1">
      <c r="A8" s="174" t="s">
        <v>39</v>
      </c>
      <c r="B8" s="175"/>
      <c r="C8" s="182" t="s">
        <v>75</v>
      </c>
      <c r="D8" s="170"/>
      <c r="E8" s="183"/>
      <c r="F8" s="183"/>
      <c r="G8" s="183"/>
      <c r="H8" s="183"/>
      <c r="I8" s="184"/>
      <c r="J8" s="181"/>
    </row>
    <row r="9" spans="1:10" ht="15" hidden="1">
      <c r="A9" s="174" t="s">
        <v>483</v>
      </c>
      <c r="B9" s="175"/>
      <c r="C9" s="185"/>
      <c r="D9" s="175"/>
      <c r="E9" s="183"/>
      <c r="F9" s="183"/>
      <c r="G9" s="183"/>
      <c r="H9" s="183"/>
      <c r="I9" s="184"/>
      <c r="J9" s="181"/>
    </row>
    <row r="10" spans="1:10" ht="15" hidden="1">
      <c r="A10" s="174" t="s">
        <v>64</v>
      </c>
      <c r="B10" s="175"/>
      <c r="C10" s="176" t="s">
        <v>78</v>
      </c>
      <c r="D10" s="177"/>
      <c r="E10" s="179">
        <f>E11+E13</f>
        <v>0</v>
      </c>
      <c r="F10" s="179">
        <f>F11+F13</f>
        <v>0</v>
      </c>
      <c r="G10" s="178"/>
      <c r="H10" s="178"/>
      <c r="I10" s="180"/>
      <c r="J10" s="181"/>
    </row>
    <row r="11" spans="1:10" ht="15" hidden="1">
      <c r="A11" s="174" t="s">
        <v>42</v>
      </c>
      <c r="B11" s="175"/>
      <c r="C11" s="182" t="s">
        <v>77</v>
      </c>
      <c r="D11" s="170"/>
      <c r="E11" s="178"/>
      <c r="F11" s="178"/>
      <c r="G11" s="178"/>
      <c r="H11" s="178"/>
      <c r="I11" s="180"/>
      <c r="J11" s="181"/>
    </row>
    <row r="12" spans="1:10" ht="15" customHeight="1" hidden="1">
      <c r="A12" s="174" t="s">
        <v>43</v>
      </c>
      <c r="B12" s="175"/>
      <c r="C12" s="186"/>
      <c r="D12" s="175"/>
      <c r="E12" s="183"/>
      <c r="F12" s="183"/>
      <c r="G12" s="183"/>
      <c r="H12" s="183"/>
      <c r="I12" s="184"/>
      <c r="J12" s="181"/>
    </row>
    <row r="13" spans="1:10" ht="16.5" customHeight="1" hidden="1">
      <c r="A13" s="174" t="s">
        <v>44</v>
      </c>
      <c r="B13" s="175"/>
      <c r="C13" s="182" t="s">
        <v>75</v>
      </c>
      <c r="D13" s="170"/>
      <c r="E13" s="183">
        <f>SUM(E14:E15)</f>
        <v>0</v>
      </c>
      <c r="F13" s="183">
        <f>SUM(F14:F15)</f>
        <v>0</v>
      </c>
      <c r="G13" s="183"/>
      <c r="H13" s="183"/>
      <c r="I13" s="184"/>
      <c r="J13" s="181"/>
    </row>
    <row r="14" spans="1:10" ht="36.75" customHeight="1" hidden="1">
      <c r="A14" s="174"/>
      <c r="B14" s="175"/>
      <c r="C14" s="136"/>
      <c r="D14" s="175"/>
      <c r="E14" s="183"/>
      <c r="F14" s="183"/>
      <c r="G14" s="187"/>
      <c r="H14" s="183"/>
      <c r="I14" s="184"/>
      <c r="J14" s="181"/>
    </row>
    <row r="15" spans="1:10" ht="36.75" customHeight="1" hidden="1">
      <c r="A15" s="174"/>
      <c r="B15" s="175"/>
      <c r="C15" s="136"/>
      <c r="D15" s="175"/>
      <c r="E15" s="188"/>
      <c r="F15" s="183"/>
      <c r="G15" s="187"/>
      <c r="H15" s="183"/>
      <c r="I15" s="184"/>
      <c r="J15" s="181"/>
    </row>
    <row r="16" spans="1:10" ht="16.5" customHeight="1">
      <c r="A16" s="174" t="s">
        <v>65</v>
      </c>
      <c r="B16" s="175"/>
      <c r="C16" s="176" t="s">
        <v>79</v>
      </c>
      <c r="D16" s="486"/>
      <c r="E16" s="487">
        <f>E17+E19</f>
        <v>0</v>
      </c>
      <c r="F16" s="487">
        <f>F17+F19</f>
        <v>0</v>
      </c>
      <c r="G16" s="178"/>
      <c r="H16" s="178"/>
      <c r="I16" s="180"/>
      <c r="J16" s="181"/>
    </row>
    <row r="17" spans="1:10" ht="15" hidden="1">
      <c r="A17" s="174" t="s">
        <v>45</v>
      </c>
      <c r="B17" s="175"/>
      <c r="C17" s="182" t="s">
        <v>77</v>
      </c>
      <c r="D17" s="488"/>
      <c r="E17" s="489"/>
      <c r="F17" s="489"/>
      <c r="G17" s="178"/>
      <c r="H17" s="178"/>
      <c r="I17" s="180"/>
      <c r="J17" s="181"/>
    </row>
    <row r="18" spans="1:10" ht="15" hidden="1">
      <c r="A18" s="174" t="s">
        <v>46</v>
      </c>
      <c r="B18" s="175"/>
      <c r="C18" s="182"/>
      <c r="D18" s="488"/>
      <c r="E18" s="490"/>
      <c r="F18" s="490"/>
      <c r="G18" s="183"/>
      <c r="H18" s="183"/>
      <c r="I18" s="184"/>
      <c r="J18" s="181"/>
    </row>
    <row r="19" spans="1:10" ht="15" customHeight="1">
      <c r="A19" s="174" t="s">
        <v>47</v>
      </c>
      <c r="B19" s="175"/>
      <c r="C19" s="182" t="s">
        <v>75</v>
      </c>
      <c r="D19" s="488"/>
      <c r="E19" s="490">
        <f>SUM(E20+E22)</f>
        <v>0</v>
      </c>
      <c r="F19" s="490">
        <f>SUM(F20+F22)</f>
        <v>0</v>
      </c>
      <c r="G19" s="183"/>
      <c r="H19" s="183"/>
      <c r="I19" s="184"/>
      <c r="J19" s="181"/>
    </row>
    <row r="20" spans="1:10" ht="27.75" customHeight="1">
      <c r="A20" s="174" t="s">
        <v>478</v>
      </c>
      <c r="B20" s="175"/>
      <c r="C20" s="189" t="s">
        <v>249</v>
      </c>
      <c r="D20" s="488"/>
      <c r="E20" s="490">
        <f>SUM(E21:E21)</f>
        <v>0</v>
      </c>
      <c r="F20" s="490">
        <f>SUM(F21:F21)</f>
        <v>0</v>
      </c>
      <c r="G20" s="183"/>
      <c r="H20" s="183"/>
      <c r="I20" s="184"/>
      <c r="J20" s="181"/>
    </row>
    <row r="21" spans="1:10" s="476" customFormat="1" ht="66" customHeight="1" hidden="1">
      <c r="A21" s="470" t="s">
        <v>250</v>
      </c>
      <c r="B21" s="471">
        <v>130970</v>
      </c>
      <c r="C21" s="190" t="s">
        <v>332</v>
      </c>
      <c r="D21" s="491"/>
      <c r="E21" s="481"/>
      <c r="F21" s="481"/>
      <c r="G21" s="473"/>
      <c r="H21" s="473" t="s">
        <v>312</v>
      </c>
      <c r="I21" s="474" t="s">
        <v>330</v>
      </c>
      <c r="J21" s="475"/>
    </row>
    <row r="22" spans="1:10" ht="30.75" customHeight="1" hidden="1">
      <c r="A22" s="174" t="s">
        <v>436</v>
      </c>
      <c r="B22" s="175"/>
      <c r="C22" s="189" t="s">
        <v>437</v>
      </c>
      <c r="D22" s="492">
        <f>D23</f>
        <v>0</v>
      </c>
      <c r="E22" s="492">
        <f>E23</f>
        <v>0</v>
      </c>
      <c r="F22" s="492">
        <f>F23</f>
        <v>0</v>
      </c>
      <c r="G22" s="183"/>
      <c r="H22" s="183"/>
      <c r="I22" s="184"/>
      <c r="J22" s="181"/>
    </row>
    <row r="23" spans="1:10" ht="17.25" customHeight="1" hidden="1">
      <c r="A23" s="174" t="s">
        <v>438</v>
      </c>
      <c r="B23" s="175"/>
      <c r="C23" s="191"/>
      <c r="D23" s="492"/>
      <c r="E23" s="490"/>
      <c r="F23" s="490"/>
      <c r="G23" s="183"/>
      <c r="H23" s="183"/>
      <c r="I23" s="184"/>
      <c r="J23" s="181"/>
    </row>
    <row r="24" spans="1:10" ht="15">
      <c r="A24" s="174" t="s">
        <v>66</v>
      </c>
      <c r="B24" s="175"/>
      <c r="C24" s="176" t="s">
        <v>80</v>
      </c>
      <c r="D24" s="486"/>
      <c r="E24" s="493">
        <f>E25+E30</f>
        <v>12.536</v>
      </c>
      <c r="F24" s="487">
        <f>F25+F30</f>
        <v>7305.328333333334</v>
      </c>
      <c r="G24" s="178"/>
      <c r="H24" s="178"/>
      <c r="I24" s="180"/>
      <c r="J24" s="181"/>
    </row>
    <row r="25" spans="1:10" ht="15" hidden="1">
      <c r="A25" s="174" t="s">
        <v>48</v>
      </c>
      <c r="B25" s="175"/>
      <c r="C25" s="182" t="s">
        <v>77</v>
      </c>
      <c r="D25" s="488"/>
      <c r="E25" s="489">
        <f>E26+E28</f>
        <v>0</v>
      </c>
      <c r="F25" s="489">
        <f>F26+F28</f>
        <v>0</v>
      </c>
      <c r="G25" s="178"/>
      <c r="H25" s="178"/>
      <c r="I25" s="180"/>
      <c r="J25" s="181"/>
    </row>
    <row r="26" spans="1:10" ht="17.25" customHeight="1" hidden="1">
      <c r="A26" s="174" t="s">
        <v>49</v>
      </c>
      <c r="B26" s="175"/>
      <c r="C26" s="182" t="s">
        <v>63</v>
      </c>
      <c r="D26" s="488"/>
      <c r="E26" s="489">
        <f>E27</f>
        <v>0</v>
      </c>
      <c r="F26" s="489">
        <f>F27</f>
        <v>0</v>
      </c>
      <c r="G26" s="178"/>
      <c r="H26" s="178"/>
      <c r="I26" s="180"/>
      <c r="J26" s="181"/>
    </row>
    <row r="27" spans="1:10" ht="15" hidden="1">
      <c r="A27" s="174" t="s">
        <v>81</v>
      </c>
      <c r="B27" s="175"/>
      <c r="C27" s="182"/>
      <c r="D27" s="488"/>
      <c r="E27" s="490"/>
      <c r="F27" s="490"/>
      <c r="G27" s="183"/>
      <c r="H27" s="183"/>
      <c r="I27" s="184"/>
      <c r="J27" s="181"/>
    </row>
    <row r="28" spans="1:10" ht="30" customHeight="1" hidden="1">
      <c r="A28" s="174" t="s">
        <v>444</v>
      </c>
      <c r="B28" s="175"/>
      <c r="C28" s="182" t="s">
        <v>62</v>
      </c>
      <c r="D28" s="488"/>
      <c r="E28" s="490">
        <f>E29</f>
        <v>0</v>
      </c>
      <c r="F28" s="490">
        <f>F29</f>
        <v>0</v>
      </c>
      <c r="G28" s="183"/>
      <c r="H28" s="183"/>
      <c r="I28" s="184"/>
      <c r="J28" s="181"/>
    </row>
    <row r="29" spans="1:10" ht="15" hidden="1">
      <c r="A29" s="174" t="s">
        <v>445</v>
      </c>
      <c r="B29" s="175"/>
      <c r="C29" s="182"/>
      <c r="D29" s="488"/>
      <c r="E29" s="490"/>
      <c r="F29" s="490"/>
      <c r="G29" s="183"/>
      <c r="H29" s="183"/>
      <c r="I29" s="184"/>
      <c r="J29" s="181"/>
    </row>
    <row r="30" spans="1:10" ht="15" customHeight="1">
      <c r="A30" s="174" t="s">
        <v>50</v>
      </c>
      <c r="B30" s="175"/>
      <c r="C30" s="182" t="s">
        <v>75</v>
      </c>
      <c r="D30" s="488"/>
      <c r="E30" s="494">
        <f>E31+E33</f>
        <v>12.536</v>
      </c>
      <c r="F30" s="490">
        <f>F31+F33</f>
        <v>7305.328333333334</v>
      </c>
      <c r="G30" s="183"/>
      <c r="H30" s="183"/>
      <c r="I30" s="184"/>
      <c r="J30" s="181"/>
    </row>
    <row r="31" spans="1:10" ht="18.75" customHeight="1" hidden="1">
      <c r="A31" s="174" t="s">
        <v>546</v>
      </c>
      <c r="B31" s="175"/>
      <c r="C31" s="192" t="s">
        <v>85</v>
      </c>
      <c r="D31" s="492"/>
      <c r="E31" s="495"/>
      <c r="F31" s="490"/>
      <c r="G31" s="183"/>
      <c r="H31" s="183"/>
      <c r="I31" s="184"/>
      <c r="J31" s="181"/>
    </row>
    <row r="32" spans="1:10" ht="16.5" customHeight="1" hidden="1">
      <c r="A32" s="174" t="s">
        <v>86</v>
      </c>
      <c r="B32" s="175"/>
      <c r="C32" s="192"/>
      <c r="D32" s="492"/>
      <c r="E32" s="495"/>
      <c r="F32" s="490"/>
      <c r="G32" s="183"/>
      <c r="H32" s="183"/>
      <c r="I32" s="184"/>
      <c r="J32" s="181"/>
    </row>
    <row r="33" spans="1:10" s="476" customFormat="1" ht="32.25" customHeight="1">
      <c r="A33" s="470" t="s">
        <v>547</v>
      </c>
      <c r="B33" s="472"/>
      <c r="C33" s="192" t="s">
        <v>87</v>
      </c>
      <c r="D33" s="491"/>
      <c r="E33" s="496">
        <f>SUM(E34:E38)</f>
        <v>12.536</v>
      </c>
      <c r="F33" s="496">
        <f>SUM(F34:F38)</f>
        <v>7305.328333333334</v>
      </c>
      <c r="G33" s="473"/>
      <c r="H33" s="473"/>
      <c r="I33" s="474"/>
      <c r="J33" s="475"/>
    </row>
    <row r="34" spans="1:10" s="476" customFormat="1" ht="50.25" customHeight="1">
      <c r="A34" s="470" t="s">
        <v>88</v>
      </c>
      <c r="B34" s="477" t="s">
        <v>702</v>
      </c>
      <c r="C34" s="72" t="s">
        <v>594</v>
      </c>
      <c r="D34" s="491">
        <f>F34/E34</f>
        <v>558.1970238095238</v>
      </c>
      <c r="E34" s="497">
        <f>'6. Пров закупівлі'!E26</f>
        <v>1.4</v>
      </c>
      <c r="F34" s="481">
        <f>'6. Пров закупівлі'!F26</f>
        <v>781.4758333333333</v>
      </c>
      <c r="G34" s="478" t="s">
        <v>715</v>
      </c>
      <c r="H34" s="473" t="s">
        <v>312</v>
      </c>
      <c r="I34" s="508" t="s">
        <v>703</v>
      </c>
      <c r="J34" s="475"/>
    </row>
    <row r="35" spans="1:10" s="476" customFormat="1" ht="54" customHeight="1">
      <c r="A35" s="470" t="s">
        <v>439</v>
      </c>
      <c r="B35" s="477" t="s">
        <v>704</v>
      </c>
      <c r="C35" s="72" t="s">
        <v>595</v>
      </c>
      <c r="D35" s="491">
        <f>F35/E35</f>
        <v>608.2416097838453</v>
      </c>
      <c r="E35" s="497">
        <f>'6. Пров закупівлі'!E27</f>
        <v>1.172</v>
      </c>
      <c r="F35" s="481">
        <f>'6. Пров закупівлі'!F27</f>
        <v>712.8591666666667</v>
      </c>
      <c r="G35" s="478" t="s">
        <v>715</v>
      </c>
      <c r="H35" s="473" t="s">
        <v>312</v>
      </c>
      <c r="I35" s="508" t="s">
        <v>703</v>
      </c>
      <c r="J35" s="475"/>
    </row>
    <row r="36" spans="1:10" s="476" customFormat="1" ht="51" customHeight="1">
      <c r="A36" s="470" t="s">
        <v>509</v>
      </c>
      <c r="B36" s="477" t="s">
        <v>705</v>
      </c>
      <c r="C36" s="72" t="s">
        <v>596</v>
      </c>
      <c r="D36" s="491">
        <f>F36/E36</f>
        <v>640.4854695919939</v>
      </c>
      <c r="E36" s="497">
        <f>'6. Пров закупівлі'!E28</f>
        <v>1.732</v>
      </c>
      <c r="F36" s="481">
        <f>'6. Пров закупівлі'!F28</f>
        <v>1109.3208333333334</v>
      </c>
      <c r="G36" s="478" t="s">
        <v>715</v>
      </c>
      <c r="H36" s="473" t="s">
        <v>312</v>
      </c>
      <c r="I36" s="508" t="s">
        <v>703</v>
      </c>
      <c r="J36" s="475"/>
    </row>
    <row r="37" spans="1:10" s="476" customFormat="1" ht="47.25">
      <c r="A37" s="470" t="s">
        <v>99</v>
      </c>
      <c r="B37" s="477">
        <v>7415</v>
      </c>
      <c r="C37" s="72" t="s">
        <v>597</v>
      </c>
      <c r="D37" s="491">
        <f>F37/E37</f>
        <v>632.4338624338625</v>
      </c>
      <c r="E37" s="497">
        <f>'6. Пров закупівлі'!E29</f>
        <v>2.52</v>
      </c>
      <c r="F37" s="481">
        <f>'6. Пров закупівлі'!F29</f>
        <v>1593.7333333333333</v>
      </c>
      <c r="G37" s="478" t="s">
        <v>715</v>
      </c>
      <c r="H37" s="473" t="s">
        <v>312</v>
      </c>
      <c r="I37" s="508" t="s">
        <v>703</v>
      </c>
      <c r="J37" s="475"/>
    </row>
    <row r="38" spans="1:10" s="476" customFormat="1" ht="47.25">
      <c r="A38" s="470" t="s">
        <v>100</v>
      </c>
      <c r="B38" s="477" t="s">
        <v>706</v>
      </c>
      <c r="C38" s="72" t="s">
        <v>598</v>
      </c>
      <c r="D38" s="491">
        <f>F38/E38</f>
        <v>544.1069969654529</v>
      </c>
      <c r="E38" s="497">
        <f>'6. Пров закупівлі'!E30</f>
        <v>5.712</v>
      </c>
      <c r="F38" s="481">
        <f>'6. Пров закупівлі'!F30</f>
        <v>3107.939166666667</v>
      </c>
      <c r="G38" s="478" t="s">
        <v>715</v>
      </c>
      <c r="H38" s="473" t="s">
        <v>312</v>
      </c>
      <c r="I38" s="508" t="s">
        <v>331</v>
      </c>
      <c r="J38" s="475"/>
    </row>
    <row r="39" spans="1:10" ht="15">
      <c r="A39" s="174" t="s">
        <v>456</v>
      </c>
      <c r="B39" s="175"/>
      <c r="C39" s="176" t="s">
        <v>262</v>
      </c>
      <c r="D39" s="498"/>
      <c r="E39" s="499">
        <f>E40+E42</f>
        <v>0</v>
      </c>
      <c r="F39" s="499">
        <f>F40+F42</f>
        <v>0</v>
      </c>
      <c r="G39" s="183"/>
      <c r="H39" s="183"/>
      <c r="I39" s="482"/>
      <c r="J39" s="181"/>
    </row>
    <row r="40" spans="1:10" ht="15">
      <c r="A40" s="174" t="s">
        <v>263</v>
      </c>
      <c r="B40" s="175"/>
      <c r="C40" s="182" t="s">
        <v>77</v>
      </c>
      <c r="D40" s="498"/>
      <c r="E40" s="500"/>
      <c r="F40" s="490"/>
      <c r="G40" s="183"/>
      <c r="H40" s="183"/>
      <c r="I40" s="482"/>
      <c r="J40" s="181"/>
    </row>
    <row r="41" spans="1:10" ht="15">
      <c r="A41" s="174" t="s">
        <v>264</v>
      </c>
      <c r="B41" s="175"/>
      <c r="C41" s="192"/>
      <c r="D41" s="498"/>
      <c r="E41" s="500"/>
      <c r="F41" s="490"/>
      <c r="G41" s="183"/>
      <c r="H41" s="183"/>
      <c r="I41" s="482"/>
      <c r="J41" s="181"/>
    </row>
    <row r="42" spans="1:10" ht="15">
      <c r="A42" s="174" t="s">
        <v>265</v>
      </c>
      <c r="B42" s="175"/>
      <c r="C42" s="182" t="s">
        <v>75</v>
      </c>
      <c r="D42" s="498"/>
      <c r="E42" s="500"/>
      <c r="F42" s="490"/>
      <c r="G42" s="183"/>
      <c r="H42" s="183"/>
      <c r="I42" s="482"/>
      <c r="J42" s="181"/>
    </row>
    <row r="43" spans="1:10" ht="15">
      <c r="A43" s="174" t="s">
        <v>266</v>
      </c>
      <c r="B43" s="175"/>
      <c r="C43" s="195"/>
      <c r="D43" s="501"/>
      <c r="E43" s="501"/>
      <c r="F43" s="490"/>
      <c r="G43" s="196"/>
      <c r="H43" s="183"/>
      <c r="I43" s="482"/>
      <c r="J43" s="183"/>
    </row>
    <row r="44" spans="1:10" ht="15">
      <c r="A44" s="197">
        <v>6</v>
      </c>
      <c r="B44" s="175"/>
      <c r="C44" s="176" t="s">
        <v>390</v>
      </c>
      <c r="D44" s="486"/>
      <c r="E44" s="487">
        <f>E45+E47</f>
        <v>0</v>
      </c>
      <c r="F44" s="487">
        <f>F45+F47</f>
        <v>0</v>
      </c>
      <c r="G44" s="178"/>
      <c r="H44" s="178"/>
      <c r="I44" s="509"/>
      <c r="J44" s="178"/>
    </row>
    <row r="45" spans="1:10" ht="15">
      <c r="A45" s="174" t="s">
        <v>450</v>
      </c>
      <c r="B45" s="175"/>
      <c r="C45" s="182" t="s">
        <v>77</v>
      </c>
      <c r="D45" s="488"/>
      <c r="E45" s="488"/>
      <c r="F45" s="490"/>
      <c r="G45" s="183"/>
      <c r="H45" s="183"/>
      <c r="I45" s="482"/>
      <c r="J45" s="183"/>
    </row>
    <row r="46" spans="1:10" ht="15" customHeight="1">
      <c r="A46" s="174" t="s">
        <v>251</v>
      </c>
      <c r="B46" s="175"/>
      <c r="C46" s="182"/>
      <c r="D46" s="488"/>
      <c r="E46" s="488"/>
      <c r="F46" s="490"/>
      <c r="G46" s="183"/>
      <c r="H46" s="183"/>
      <c r="I46" s="482"/>
      <c r="J46" s="183"/>
    </row>
    <row r="47" spans="1:10" ht="15">
      <c r="A47" s="174" t="s">
        <v>451</v>
      </c>
      <c r="B47" s="175"/>
      <c r="C47" s="182" t="s">
        <v>75</v>
      </c>
      <c r="D47" s="488"/>
      <c r="E47" s="488"/>
      <c r="F47" s="490"/>
      <c r="G47" s="183"/>
      <c r="H47" s="183"/>
      <c r="I47" s="482"/>
      <c r="J47" s="183"/>
    </row>
    <row r="48" spans="1:10" ht="15">
      <c r="A48" s="174" t="s">
        <v>391</v>
      </c>
      <c r="B48" s="175"/>
      <c r="C48" s="181"/>
      <c r="D48" s="502"/>
      <c r="E48" s="488"/>
      <c r="F48" s="490"/>
      <c r="G48" s="183"/>
      <c r="H48" s="183"/>
      <c r="I48" s="482"/>
      <c r="J48" s="183"/>
    </row>
    <row r="49" spans="1:10" ht="15">
      <c r="A49" s="174" t="s">
        <v>67</v>
      </c>
      <c r="B49" s="175"/>
      <c r="C49" s="176" t="s">
        <v>392</v>
      </c>
      <c r="D49" s="486"/>
      <c r="E49" s="493">
        <f>E50+E52</f>
        <v>3.138</v>
      </c>
      <c r="F49" s="487">
        <f>F50+F52</f>
        <v>7614.39</v>
      </c>
      <c r="G49" s="178"/>
      <c r="H49" s="178"/>
      <c r="I49" s="509"/>
      <c r="J49" s="181"/>
    </row>
    <row r="50" spans="1:10" ht="15">
      <c r="A50" s="174" t="s">
        <v>51</v>
      </c>
      <c r="B50" s="175"/>
      <c r="C50" s="182" t="s">
        <v>77</v>
      </c>
      <c r="D50" s="488"/>
      <c r="E50" s="489"/>
      <c r="F50" s="489"/>
      <c r="G50" s="178"/>
      <c r="H50" s="178"/>
      <c r="I50" s="509"/>
      <c r="J50" s="181"/>
    </row>
    <row r="51" spans="1:10" ht="15">
      <c r="A51" s="174" t="s">
        <v>400</v>
      </c>
      <c r="B51" s="175"/>
      <c r="C51" s="182"/>
      <c r="D51" s="488"/>
      <c r="E51" s="490"/>
      <c r="F51" s="490"/>
      <c r="G51" s="183"/>
      <c r="H51" s="183"/>
      <c r="I51" s="482"/>
      <c r="J51" s="181"/>
    </row>
    <row r="52" spans="1:10" s="476" customFormat="1" ht="13.5" customHeight="1">
      <c r="A52" s="470" t="s">
        <v>52</v>
      </c>
      <c r="B52" s="472"/>
      <c r="C52" s="189" t="s">
        <v>75</v>
      </c>
      <c r="D52" s="503"/>
      <c r="E52" s="481">
        <f>SUM(E53)</f>
        <v>3.138</v>
      </c>
      <c r="F52" s="481">
        <f>SUM(F53)</f>
        <v>7614.39</v>
      </c>
      <c r="G52" s="473"/>
      <c r="H52" s="473"/>
      <c r="I52" s="482"/>
      <c r="J52" s="475"/>
    </row>
    <row r="53" spans="1:10" s="476" customFormat="1" ht="30">
      <c r="A53" s="470" t="s">
        <v>797</v>
      </c>
      <c r="B53" s="471">
        <v>11732</v>
      </c>
      <c r="C53" s="190" t="s">
        <v>735</v>
      </c>
      <c r="D53" s="491">
        <f>F53/E53</f>
        <v>2426.51051625239</v>
      </c>
      <c r="E53" s="496">
        <f>'6. Пров закупівлі'!E23</f>
        <v>3.138</v>
      </c>
      <c r="F53" s="481">
        <f>'6. Пров закупівлі'!F23</f>
        <v>7614.39</v>
      </c>
      <c r="G53" s="478" t="s">
        <v>715</v>
      </c>
      <c r="H53" s="473" t="s">
        <v>312</v>
      </c>
      <c r="I53" s="482" t="s">
        <v>331</v>
      </c>
      <c r="J53" s="475"/>
    </row>
    <row r="54" spans="1:10" ht="15">
      <c r="A54" s="174" t="s">
        <v>68</v>
      </c>
      <c r="B54" s="175"/>
      <c r="C54" s="176" t="s">
        <v>491</v>
      </c>
      <c r="D54" s="488"/>
      <c r="E54" s="499">
        <f>E55+E57</f>
        <v>0</v>
      </c>
      <c r="F54" s="499">
        <f>F55+F57</f>
        <v>0</v>
      </c>
      <c r="G54" s="188"/>
      <c r="H54" s="183"/>
      <c r="I54" s="482"/>
      <c r="J54" s="181"/>
    </row>
    <row r="55" spans="1:10" ht="15">
      <c r="A55" s="174" t="s">
        <v>252</v>
      </c>
      <c r="B55" s="175"/>
      <c r="C55" s="182" t="s">
        <v>77</v>
      </c>
      <c r="D55" s="488"/>
      <c r="E55" s="490"/>
      <c r="F55" s="490"/>
      <c r="G55" s="184"/>
      <c r="H55" s="183"/>
      <c r="I55" s="482"/>
      <c r="J55" s="181"/>
    </row>
    <row r="56" spans="1:10" ht="15">
      <c r="A56" s="174" t="s">
        <v>253</v>
      </c>
      <c r="B56" s="175"/>
      <c r="C56" s="176"/>
      <c r="D56" s="488"/>
      <c r="E56" s="490"/>
      <c r="F56" s="490"/>
      <c r="G56" s="184"/>
      <c r="H56" s="183"/>
      <c r="I56" s="482"/>
      <c r="J56" s="181"/>
    </row>
    <row r="57" spans="1:10" s="476" customFormat="1" ht="15">
      <c r="A57" s="470" t="s">
        <v>254</v>
      </c>
      <c r="B57" s="472"/>
      <c r="C57" s="189" t="s">
        <v>75</v>
      </c>
      <c r="D57" s="503"/>
      <c r="E57" s="481">
        <f>E56</f>
        <v>0</v>
      </c>
      <c r="F57" s="481">
        <f>F56</f>
        <v>0</v>
      </c>
      <c r="G57" s="474"/>
      <c r="H57" s="473"/>
      <c r="I57" s="482"/>
      <c r="J57" s="475"/>
    </row>
    <row r="58" spans="1:10" ht="29.25" customHeight="1">
      <c r="A58" s="174" t="s">
        <v>69</v>
      </c>
      <c r="B58" s="175"/>
      <c r="C58" s="198" t="s">
        <v>393</v>
      </c>
      <c r="D58" s="486"/>
      <c r="E58" s="487">
        <f>E59+E61+E63</f>
        <v>2</v>
      </c>
      <c r="F58" s="487">
        <f>F59+F61+F63</f>
        <v>30999.428999999996</v>
      </c>
      <c r="G58" s="199"/>
      <c r="H58" s="199"/>
      <c r="I58" s="509"/>
      <c r="J58" s="181"/>
    </row>
    <row r="59" spans="1:10" ht="15" hidden="1">
      <c r="A59" s="174" t="s">
        <v>53</v>
      </c>
      <c r="B59" s="175"/>
      <c r="C59" s="182" t="s">
        <v>77</v>
      </c>
      <c r="D59" s="488"/>
      <c r="E59" s="490">
        <f>SUM(E60)</f>
        <v>0</v>
      </c>
      <c r="F59" s="490">
        <f>SUM(F60)</f>
        <v>0</v>
      </c>
      <c r="G59" s="199"/>
      <c r="H59" s="199"/>
      <c r="I59" s="509"/>
      <c r="J59" s="181"/>
    </row>
    <row r="60" spans="1:10" ht="13.5" customHeight="1" hidden="1">
      <c r="A60" s="174" t="s">
        <v>54</v>
      </c>
      <c r="B60" s="175"/>
      <c r="C60" s="182"/>
      <c r="D60" s="488"/>
      <c r="E60" s="490"/>
      <c r="F60" s="490"/>
      <c r="G60" s="183"/>
      <c r="H60" s="183"/>
      <c r="I60" s="482"/>
      <c r="J60" s="181"/>
    </row>
    <row r="61" spans="1:10" ht="14.25" customHeight="1" hidden="1">
      <c r="A61" s="174" t="s">
        <v>55</v>
      </c>
      <c r="B61" s="175"/>
      <c r="C61" s="182" t="s">
        <v>75</v>
      </c>
      <c r="D61" s="488"/>
      <c r="E61" s="490">
        <f>SUM(E62:E62)</f>
        <v>0</v>
      </c>
      <c r="F61" s="490">
        <f>SUM(F62:F62)</f>
        <v>0</v>
      </c>
      <c r="G61" s="183"/>
      <c r="H61" s="183"/>
      <c r="I61" s="482"/>
      <c r="J61" s="181"/>
    </row>
    <row r="62" spans="1:10" ht="15" hidden="1">
      <c r="A62" s="174" t="s">
        <v>446</v>
      </c>
      <c r="B62" s="200"/>
      <c r="C62" s="194"/>
      <c r="D62" s="502"/>
      <c r="E62" s="490"/>
      <c r="F62" s="490"/>
      <c r="G62" s="183"/>
      <c r="H62" s="183"/>
      <c r="I62" s="482"/>
      <c r="J62" s="181"/>
    </row>
    <row r="63" spans="1:10" s="476" customFormat="1" ht="15">
      <c r="A63" s="470" t="s">
        <v>56</v>
      </c>
      <c r="B63" s="472"/>
      <c r="C63" s="189" t="s">
        <v>394</v>
      </c>
      <c r="D63" s="503"/>
      <c r="E63" s="481">
        <f>SUM(E64:E65)</f>
        <v>2</v>
      </c>
      <c r="F63" s="481">
        <f>SUM(F64:F65)</f>
        <v>30999.428999999996</v>
      </c>
      <c r="G63" s="473"/>
      <c r="H63" s="473"/>
      <c r="I63" s="482"/>
      <c r="J63" s="475"/>
    </row>
    <row r="64" spans="1:10" s="476" customFormat="1" ht="34.5" customHeight="1">
      <c r="A64" s="470" t="s">
        <v>798</v>
      </c>
      <c r="B64" s="480">
        <v>81</v>
      </c>
      <c r="C64" s="190" t="s">
        <v>319</v>
      </c>
      <c r="D64" s="491">
        <f>F64/E64</f>
        <v>15505.912</v>
      </c>
      <c r="E64" s="481">
        <v>1</v>
      </c>
      <c r="F64" s="481">
        <f>'6. Пров закупівлі'!F41</f>
        <v>15505.912</v>
      </c>
      <c r="G64" s="478" t="s">
        <v>715</v>
      </c>
      <c r="H64" s="473" t="s">
        <v>312</v>
      </c>
      <c r="I64" s="482" t="s">
        <v>588</v>
      </c>
      <c r="J64" s="475"/>
    </row>
    <row r="65" spans="1:10" s="476" customFormat="1" ht="33" customHeight="1">
      <c r="A65" s="470" t="s">
        <v>799</v>
      </c>
      <c r="B65" s="480">
        <v>20599</v>
      </c>
      <c r="C65" s="186" t="s">
        <v>320</v>
      </c>
      <c r="D65" s="491">
        <f>F65/E65</f>
        <v>15493.516999999998</v>
      </c>
      <c r="E65" s="481">
        <f>'6. Пров закупівлі'!E42</f>
        <v>1</v>
      </c>
      <c r="F65" s="481">
        <f>'6. Пров закупівлі'!F42</f>
        <v>15493.516999999998</v>
      </c>
      <c r="G65" s="478" t="s">
        <v>715</v>
      </c>
      <c r="H65" s="473" t="s">
        <v>312</v>
      </c>
      <c r="I65" s="482" t="s">
        <v>514</v>
      </c>
      <c r="J65" s="475"/>
    </row>
    <row r="66" spans="1:10" ht="33" customHeight="1">
      <c r="A66" s="174" t="s">
        <v>70</v>
      </c>
      <c r="B66" s="175"/>
      <c r="C66" s="198" t="s">
        <v>395</v>
      </c>
      <c r="D66" s="486"/>
      <c r="E66" s="487">
        <f>E67+E69+E71</f>
        <v>4</v>
      </c>
      <c r="F66" s="487">
        <f>F67+F69+F71</f>
        <v>7853.408000000001</v>
      </c>
      <c r="G66" s="199"/>
      <c r="H66" s="199"/>
      <c r="I66" s="509"/>
      <c r="J66" s="181"/>
    </row>
    <row r="67" spans="1:10" ht="17.25" customHeight="1" hidden="1">
      <c r="A67" s="174" t="s">
        <v>57</v>
      </c>
      <c r="B67" s="175"/>
      <c r="C67" s="182" t="s">
        <v>77</v>
      </c>
      <c r="D67" s="488"/>
      <c r="E67" s="490">
        <f>SUM(E68)</f>
        <v>0</v>
      </c>
      <c r="F67" s="490">
        <f>SUM(F68)</f>
        <v>0</v>
      </c>
      <c r="G67" s="199"/>
      <c r="H67" s="199"/>
      <c r="I67" s="509"/>
      <c r="J67" s="181"/>
    </row>
    <row r="68" spans="1:10" ht="15" customHeight="1" hidden="1">
      <c r="A68" s="174" t="s">
        <v>447</v>
      </c>
      <c r="B68" s="175"/>
      <c r="C68" s="40"/>
      <c r="D68" s="488"/>
      <c r="E68" s="490"/>
      <c r="F68" s="490"/>
      <c r="G68" s="41"/>
      <c r="H68" s="183"/>
      <c r="I68" s="482"/>
      <c r="J68" s="181"/>
    </row>
    <row r="69" spans="1:10" ht="14.25" customHeight="1" hidden="1">
      <c r="A69" s="174" t="s">
        <v>58</v>
      </c>
      <c r="B69" s="175"/>
      <c r="C69" s="182" t="s">
        <v>75</v>
      </c>
      <c r="D69" s="488"/>
      <c r="E69" s="490">
        <f>SUM(E70:E70)</f>
        <v>0</v>
      </c>
      <c r="F69" s="490">
        <f>SUM(F70:F70)</f>
        <v>0</v>
      </c>
      <c r="G69" s="183"/>
      <c r="H69" s="183"/>
      <c r="I69" s="482"/>
      <c r="J69" s="181"/>
    </row>
    <row r="70" spans="1:10" ht="15" customHeight="1" hidden="1">
      <c r="A70" s="174" t="s">
        <v>60</v>
      </c>
      <c r="B70" s="175"/>
      <c r="C70" s="190"/>
      <c r="D70" s="492"/>
      <c r="E70" s="490"/>
      <c r="F70" s="490"/>
      <c r="G70" s="201"/>
      <c r="H70" s="183"/>
      <c r="I70" s="482"/>
      <c r="J70" s="181"/>
    </row>
    <row r="71" spans="1:10" s="476" customFormat="1" ht="15">
      <c r="A71" s="470" t="s">
        <v>61</v>
      </c>
      <c r="B71" s="472"/>
      <c r="C71" s="189" t="s">
        <v>394</v>
      </c>
      <c r="D71" s="503"/>
      <c r="E71" s="481">
        <f>SUM(E72:E76)</f>
        <v>4</v>
      </c>
      <c r="F71" s="481">
        <f>SUM(F72:F76)</f>
        <v>7853.408000000001</v>
      </c>
      <c r="G71" s="473"/>
      <c r="H71" s="473"/>
      <c r="I71" s="482"/>
      <c r="J71" s="475"/>
    </row>
    <row r="72" spans="1:10" s="476" customFormat="1" ht="30">
      <c r="A72" s="470" t="s">
        <v>800</v>
      </c>
      <c r="B72" s="479">
        <v>1370</v>
      </c>
      <c r="C72" s="190" t="s">
        <v>385</v>
      </c>
      <c r="D72" s="491">
        <f>F72/E72</f>
        <v>4691.888000000001</v>
      </c>
      <c r="E72" s="481">
        <f>'6. Пров закупівлі'!E50</f>
        <v>1</v>
      </c>
      <c r="F72" s="481">
        <f>'6. Пров закупівлі'!F50</f>
        <v>4691.888000000001</v>
      </c>
      <c r="G72" s="478" t="s">
        <v>715</v>
      </c>
      <c r="H72" s="473" t="s">
        <v>312</v>
      </c>
      <c r="I72" s="482" t="s">
        <v>589</v>
      </c>
      <c r="J72" s="475"/>
    </row>
    <row r="73" spans="1:10" s="217" customFormat="1" ht="18.75" customHeight="1">
      <c r="A73" s="215"/>
      <c r="B73" s="218"/>
      <c r="C73" s="483" t="s">
        <v>591</v>
      </c>
      <c r="D73" s="504"/>
      <c r="E73" s="505"/>
      <c r="F73" s="505"/>
      <c r="G73" s="214"/>
      <c r="H73" s="214"/>
      <c r="I73" s="482"/>
      <c r="J73" s="216"/>
    </row>
    <row r="74" spans="1:10" s="476" customFormat="1" ht="45">
      <c r="A74" s="470" t="s">
        <v>801</v>
      </c>
      <c r="B74" s="479">
        <v>20632</v>
      </c>
      <c r="C74" s="190" t="s">
        <v>584</v>
      </c>
      <c r="D74" s="491">
        <f>F74/E74</f>
        <v>1094.58</v>
      </c>
      <c r="E74" s="506">
        <f>'6. Пров закупівлі'!E52</f>
        <v>1</v>
      </c>
      <c r="F74" s="481">
        <f>'6. Пров закупівлі'!F52</f>
        <v>1094.58</v>
      </c>
      <c r="G74" s="478" t="s">
        <v>715</v>
      </c>
      <c r="H74" s="473" t="s">
        <v>312</v>
      </c>
      <c r="I74" s="482" t="s">
        <v>590</v>
      </c>
      <c r="J74" s="475"/>
    </row>
    <row r="75" spans="1:10" s="476" customFormat="1" ht="45">
      <c r="A75" s="470" t="s">
        <v>802</v>
      </c>
      <c r="B75" s="479">
        <v>20633</v>
      </c>
      <c r="C75" s="190" t="s">
        <v>585</v>
      </c>
      <c r="D75" s="491">
        <f>F75/E75</f>
        <v>885.42</v>
      </c>
      <c r="E75" s="506">
        <f>'6. Пров закупівлі'!E53</f>
        <v>1</v>
      </c>
      <c r="F75" s="481">
        <f>'6. Пров закупівлі'!F53</f>
        <v>885.42</v>
      </c>
      <c r="G75" s="478" t="s">
        <v>715</v>
      </c>
      <c r="H75" s="473" t="s">
        <v>312</v>
      </c>
      <c r="I75" s="482" t="s">
        <v>723</v>
      </c>
      <c r="J75" s="475"/>
    </row>
    <row r="76" spans="1:10" s="476" customFormat="1" ht="30">
      <c r="A76" s="470" t="s">
        <v>803</v>
      </c>
      <c r="B76" s="480">
        <v>1425</v>
      </c>
      <c r="C76" s="190" t="str">
        <f>'6. Пров закупівлі'!B56</f>
        <v>Модернізація ПС 35/10 кВ "Лихачів" в с.Лихачів, Носівського району, Чернігівської області</v>
      </c>
      <c r="D76" s="491">
        <f>F76/E76</f>
        <v>1181.52</v>
      </c>
      <c r="E76" s="506">
        <f>'6. Пров закупівлі'!E56</f>
        <v>1</v>
      </c>
      <c r="F76" s="481">
        <f>'6. Пров закупівлі'!F56</f>
        <v>1181.52</v>
      </c>
      <c r="G76" s="478" t="s">
        <v>715</v>
      </c>
      <c r="H76" s="473" t="s">
        <v>312</v>
      </c>
      <c r="I76" s="482" t="s">
        <v>707</v>
      </c>
      <c r="J76" s="475"/>
    </row>
    <row r="77" spans="1:10" s="476" customFormat="1" ht="18" customHeight="1" hidden="1">
      <c r="A77" s="470" t="s">
        <v>71</v>
      </c>
      <c r="B77" s="477"/>
      <c r="C77" s="484" t="s">
        <v>255</v>
      </c>
      <c r="D77" s="491"/>
      <c r="E77" s="507">
        <f>E78+E80+E82</f>
        <v>0</v>
      </c>
      <c r="F77" s="507">
        <f>F78+F80+F82</f>
        <v>0</v>
      </c>
      <c r="G77" s="473"/>
      <c r="H77" s="473"/>
      <c r="I77" s="482"/>
      <c r="J77" s="475"/>
    </row>
    <row r="78" spans="1:10" ht="18.75" customHeight="1" hidden="1">
      <c r="A78" s="174" t="s">
        <v>256</v>
      </c>
      <c r="B78" s="193"/>
      <c r="C78" s="182" t="s">
        <v>77</v>
      </c>
      <c r="D78" s="492">
        <f>D79</f>
        <v>0</v>
      </c>
      <c r="E78" s="492">
        <f>E79</f>
        <v>0</v>
      </c>
      <c r="F78" s="492">
        <f>F79</f>
        <v>0</v>
      </c>
      <c r="G78" s="183"/>
      <c r="H78" s="183"/>
      <c r="I78" s="482"/>
      <c r="J78" s="181"/>
    </row>
    <row r="79" spans="1:10" ht="15" hidden="1">
      <c r="A79" s="174" t="s">
        <v>257</v>
      </c>
      <c r="B79" s="193"/>
      <c r="C79" s="202"/>
      <c r="D79" s="492"/>
      <c r="E79" s="490"/>
      <c r="F79" s="490"/>
      <c r="G79" s="183"/>
      <c r="H79" s="183"/>
      <c r="I79" s="482"/>
      <c r="J79" s="181"/>
    </row>
    <row r="80" spans="1:10" ht="15" hidden="1">
      <c r="A80" s="174" t="s">
        <v>258</v>
      </c>
      <c r="B80" s="193"/>
      <c r="C80" s="182" t="s">
        <v>75</v>
      </c>
      <c r="D80" s="492">
        <f>D81</f>
        <v>0</v>
      </c>
      <c r="E80" s="492">
        <f>E81</f>
        <v>0</v>
      </c>
      <c r="F80" s="492">
        <f>F81</f>
        <v>0</v>
      </c>
      <c r="G80" s="183"/>
      <c r="H80" s="183"/>
      <c r="I80" s="482"/>
      <c r="J80" s="181"/>
    </row>
    <row r="81" spans="1:10" ht="15" hidden="1">
      <c r="A81" s="174" t="s">
        <v>259</v>
      </c>
      <c r="B81" s="193"/>
      <c r="C81" s="182"/>
      <c r="D81" s="492"/>
      <c r="E81" s="490"/>
      <c r="F81" s="490"/>
      <c r="G81" s="183"/>
      <c r="H81" s="183"/>
      <c r="I81" s="482"/>
      <c r="J81" s="181"/>
    </row>
    <row r="82" spans="1:10" ht="18" customHeight="1" hidden="1">
      <c r="A82" s="174" t="s">
        <v>260</v>
      </c>
      <c r="B82" s="193"/>
      <c r="C82" s="182" t="s">
        <v>394</v>
      </c>
      <c r="D82" s="492">
        <f>SUM(D83)</f>
        <v>0</v>
      </c>
      <c r="E82" s="492">
        <f>SUM(D83)</f>
        <v>0</v>
      </c>
      <c r="F82" s="492">
        <f>SUM(D83)</f>
        <v>0</v>
      </c>
      <c r="G82" s="172"/>
      <c r="H82" s="181"/>
      <c r="I82" s="510"/>
      <c r="J82" s="181"/>
    </row>
    <row r="83" spans="1:10" ht="15" customHeight="1" hidden="1">
      <c r="A83" s="174" t="s">
        <v>261</v>
      </c>
      <c r="B83" s="205"/>
      <c r="C83" s="182"/>
      <c r="D83" s="203"/>
      <c r="E83" s="203"/>
      <c r="F83" s="172"/>
      <c r="G83" s="172"/>
      <c r="H83" s="181"/>
      <c r="I83" s="204"/>
      <c r="J83" s="181"/>
    </row>
    <row r="84" spans="1:10" ht="15.75">
      <c r="A84" s="874" t="s">
        <v>525</v>
      </c>
      <c r="B84" s="874"/>
      <c r="C84" s="874"/>
      <c r="D84" s="874"/>
      <c r="E84" s="874"/>
      <c r="F84" s="511">
        <f>F5+F10+F16+F24+F39+F44+F49+F54+F58+F66+F77</f>
        <v>53772.55533333333</v>
      </c>
      <c r="G84" s="206" t="s">
        <v>151</v>
      </c>
      <c r="H84" s="206" t="s">
        <v>151</v>
      </c>
      <c r="I84" s="206" t="s">
        <v>151</v>
      </c>
      <c r="J84" s="206" t="s">
        <v>151</v>
      </c>
    </row>
    <row r="85" spans="1:10" ht="15">
      <c r="A85" s="873" t="s">
        <v>267</v>
      </c>
      <c r="B85" s="873"/>
      <c r="C85" s="873"/>
      <c r="D85" s="873"/>
      <c r="E85" s="873"/>
      <c r="F85" s="873"/>
      <c r="G85" s="873"/>
      <c r="H85" s="873"/>
      <c r="I85" s="873"/>
      <c r="J85" s="873"/>
    </row>
    <row r="86" spans="1:10" ht="15">
      <c r="A86" s="207" t="s">
        <v>268</v>
      </c>
      <c r="B86" s="207"/>
      <c r="C86" s="207"/>
      <c r="D86" s="207"/>
      <c r="E86" s="207"/>
      <c r="F86" s="207"/>
      <c r="G86" s="207"/>
      <c r="H86" s="207"/>
      <c r="I86" s="207"/>
      <c r="J86" s="207"/>
    </row>
  </sheetData>
  <sheetProtection/>
  <mergeCells count="12">
    <mergeCell ref="A85:J85"/>
    <mergeCell ref="A84:E84"/>
    <mergeCell ref="A1:J1"/>
    <mergeCell ref="G2:G3"/>
    <mergeCell ref="J2:J3"/>
    <mergeCell ref="E2:F2"/>
    <mergeCell ref="B2:B3"/>
    <mergeCell ref="I2:I3"/>
    <mergeCell ref="A2:A3"/>
    <mergeCell ref="C2:C3"/>
    <mergeCell ref="D2:D3"/>
    <mergeCell ref="H2:H3"/>
  </mergeCells>
  <printOptions/>
  <pageMargins left="0.7874015748031497" right="0.35433070866141736" top="0.7874015748031497" bottom="0.3937007874015748" header="0.35433070866141736" footer="0.35433070866141736"/>
  <pageSetup fitToHeight="4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M23"/>
  <sheetViews>
    <sheetView view="pageBreakPreview" zoomScaleSheetLayoutView="100" zoomScalePageLayoutView="0" workbookViewId="0" topLeftCell="A1">
      <selection activeCell="F9" sqref="F9"/>
    </sheetView>
  </sheetViews>
  <sheetFormatPr defaultColWidth="9.00390625" defaultRowHeight="12.75"/>
  <cols>
    <col min="1" max="1" width="5.75390625" style="842" customWidth="1"/>
    <col min="2" max="2" width="18.125" style="842" customWidth="1"/>
    <col min="3" max="3" width="20.00390625" style="842" customWidth="1"/>
    <col min="4" max="4" width="12.125" style="842" customWidth="1"/>
    <col min="5" max="5" width="13.25390625" style="842" customWidth="1"/>
    <col min="6" max="6" width="12.375" style="842" customWidth="1"/>
    <col min="7" max="7" width="10.375" style="842" customWidth="1"/>
    <col min="8" max="8" width="12.625" style="842" customWidth="1"/>
    <col min="9" max="9" width="9.00390625" style="842" customWidth="1"/>
    <col min="10" max="10" width="11.375" style="842" customWidth="1"/>
    <col min="11" max="11" width="11.625" style="842" customWidth="1"/>
    <col min="12" max="12" width="11.25390625" style="842" customWidth="1"/>
    <col min="13" max="13" width="11.75390625" style="842" customWidth="1"/>
    <col min="14" max="16384" width="9.125" style="842" customWidth="1"/>
  </cols>
  <sheetData>
    <row r="1" spans="1:13" s="840" customFormat="1" ht="27" customHeight="1">
      <c r="A1" s="857" t="s">
        <v>269</v>
      </c>
      <c r="B1" s="857"/>
      <c r="C1" s="857"/>
      <c r="D1" s="857"/>
      <c r="E1" s="857"/>
      <c r="F1" s="857"/>
      <c r="G1" s="857"/>
      <c r="H1" s="857"/>
      <c r="I1" s="857"/>
      <c r="J1" s="857"/>
      <c r="K1" s="857"/>
      <c r="L1" s="857"/>
      <c r="M1" s="857"/>
    </row>
    <row r="2" spans="1:13" s="840" customFormat="1" ht="18" customHeight="1">
      <c r="A2" s="848" t="s">
        <v>457</v>
      </c>
      <c r="B2" s="848" t="s">
        <v>463</v>
      </c>
      <c r="C2" s="848"/>
      <c r="D2" s="865" t="str">
        <f>'5.1. Буд'!D2:E3</f>
        <v>Усього на 2016 - 2020 рр. </v>
      </c>
      <c r="E2" s="865"/>
      <c r="F2" s="848" t="s">
        <v>459</v>
      </c>
      <c r="G2" s="848"/>
      <c r="H2" s="848"/>
      <c r="I2" s="848"/>
      <c r="J2" s="848"/>
      <c r="K2" s="848"/>
      <c r="L2" s="848"/>
      <c r="M2" s="848"/>
    </row>
    <row r="3" spans="1:13" s="841" customFormat="1" ht="27" customHeight="1">
      <c r="A3" s="848"/>
      <c r="B3" s="848"/>
      <c r="C3" s="848"/>
      <c r="D3" s="865"/>
      <c r="E3" s="865"/>
      <c r="F3" s="866">
        <f>'5.1. Буд'!F3:J3</f>
        <v>2016</v>
      </c>
      <c r="G3" s="849"/>
      <c r="H3" s="849"/>
      <c r="I3" s="849"/>
      <c r="J3" s="839">
        <f>'5.1. Буд'!K3</f>
        <v>2017</v>
      </c>
      <c r="K3" s="839">
        <f>'5.1. Буд'!L3</f>
        <v>2018</v>
      </c>
      <c r="L3" s="839">
        <f>'5.1. Буд'!M3</f>
        <v>2019</v>
      </c>
      <c r="M3" s="839">
        <f>'5.1. Буд'!N3</f>
        <v>2020</v>
      </c>
    </row>
    <row r="4" spans="1:13" s="841" customFormat="1" ht="33" customHeight="1">
      <c r="A4" s="848"/>
      <c r="B4" s="848"/>
      <c r="C4" s="848"/>
      <c r="D4" s="875" t="s">
        <v>325</v>
      </c>
      <c r="E4" s="848" t="s">
        <v>460</v>
      </c>
      <c r="F4" s="848" t="s">
        <v>376</v>
      </c>
      <c r="G4" s="848"/>
      <c r="H4" s="848" t="s">
        <v>270</v>
      </c>
      <c r="I4" s="848"/>
      <c r="J4" s="848" t="s">
        <v>37</v>
      </c>
      <c r="K4" s="848" t="s">
        <v>37</v>
      </c>
      <c r="L4" s="848" t="s">
        <v>37</v>
      </c>
      <c r="M4" s="848" t="s">
        <v>37</v>
      </c>
    </row>
    <row r="5" spans="1:13" s="840" customFormat="1" ht="30.75" customHeight="1">
      <c r="A5" s="848"/>
      <c r="B5" s="848"/>
      <c r="C5" s="848"/>
      <c r="D5" s="876"/>
      <c r="E5" s="848"/>
      <c r="F5" s="838" t="s">
        <v>37</v>
      </c>
      <c r="G5" s="838" t="s">
        <v>460</v>
      </c>
      <c r="H5" s="838" t="s">
        <v>378</v>
      </c>
      <c r="I5" s="838" t="s">
        <v>460</v>
      </c>
      <c r="J5" s="848"/>
      <c r="K5" s="848"/>
      <c r="L5" s="848"/>
      <c r="M5" s="848"/>
    </row>
    <row r="6" spans="1:13" s="840" customFormat="1" ht="15">
      <c r="A6" s="838">
        <v>1</v>
      </c>
      <c r="B6" s="848">
        <v>2</v>
      </c>
      <c r="C6" s="848"/>
      <c r="D6" s="838">
        <v>3</v>
      </c>
      <c r="E6" s="838">
        <v>4</v>
      </c>
      <c r="F6" s="838">
        <v>5</v>
      </c>
      <c r="G6" s="838">
        <v>6</v>
      </c>
      <c r="H6" s="838">
        <v>7</v>
      </c>
      <c r="I6" s="838">
        <v>8</v>
      </c>
      <c r="J6" s="838">
        <v>9</v>
      </c>
      <c r="K6" s="838">
        <v>10</v>
      </c>
      <c r="L6" s="838">
        <v>11</v>
      </c>
      <c r="M6" s="838">
        <v>12</v>
      </c>
    </row>
    <row r="7" spans="1:13" ht="36" customHeight="1">
      <c r="A7" s="141">
        <v>1</v>
      </c>
      <c r="B7" s="862" t="s">
        <v>271</v>
      </c>
      <c r="C7" s="862"/>
      <c r="D7" s="143">
        <f>SUM(D8:D12,D15)</f>
        <v>40469.26525</v>
      </c>
      <c r="E7" s="144">
        <f>IF(D17=0,0,D7/D17)</f>
        <v>0.9294280194691925</v>
      </c>
      <c r="F7" s="143">
        <f>SUM(F8:F12,F15)</f>
        <v>6047.5</v>
      </c>
      <c r="G7" s="144">
        <f>IF(F17=0,0,F7/F17)</f>
        <v>0.9294280194691924</v>
      </c>
      <c r="H7" s="143">
        <f>SUM(H8:H12,H15)</f>
        <v>0.18966</v>
      </c>
      <c r="I7" s="164"/>
      <c r="J7" s="143">
        <f>SUM(J8:J12,J15)</f>
        <v>7257</v>
      </c>
      <c r="K7" s="143">
        <f>SUM(K8:K12,K15)</f>
        <v>8345.55</v>
      </c>
      <c r="L7" s="143">
        <f>SUM(L8:L12,L15)</f>
        <v>9180.105</v>
      </c>
      <c r="M7" s="143">
        <f>SUM(M8:M12,M15)</f>
        <v>9639.11025</v>
      </c>
    </row>
    <row r="8" spans="1:13" ht="39.75" customHeight="1">
      <c r="A8" s="163" t="s">
        <v>38</v>
      </c>
      <c r="B8" s="862" t="s">
        <v>272</v>
      </c>
      <c r="C8" s="862"/>
      <c r="D8" s="143">
        <f>SUM(F8,J8:M8)</f>
        <v>10037.85</v>
      </c>
      <c r="E8" s="144">
        <f>IF(D7=0,0,D8/D7)</f>
        <v>0.24803637866887146</v>
      </c>
      <c r="F8" s="166">
        <f>'6. Пров закупівлі'!F79</f>
        <v>1500</v>
      </c>
      <c r="G8" s="144">
        <f>IF(F7=0,0,F8/F7)</f>
        <v>0.24803637866887143</v>
      </c>
      <c r="H8" s="166"/>
      <c r="I8" s="164"/>
      <c r="J8" s="166">
        <f>F8*1.2</f>
        <v>1800</v>
      </c>
      <c r="K8" s="166">
        <f>J8*1.15</f>
        <v>2070</v>
      </c>
      <c r="L8" s="166">
        <f>K8*1.1</f>
        <v>2277</v>
      </c>
      <c r="M8" s="166">
        <f>L8*1.05</f>
        <v>2390.85</v>
      </c>
    </row>
    <row r="9" spans="1:13" ht="54" customHeight="1">
      <c r="A9" s="163" t="s">
        <v>39</v>
      </c>
      <c r="B9" s="862" t="s">
        <v>273</v>
      </c>
      <c r="C9" s="862"/>
      <c r="D9" s="143">
        <f aca="true" t="shared" si="0" ref="D9:D16">SUM(F9,J9:M9)</f>
        <v>0</v>
      </c>
      <c r="E9" s="144">
        <f>IF(D7=0,0,D9/D7)</f>
        <v>0</v>
      </c>
      <c r="F9" s="166">
        <f>'6. Пров закупівлі'!F82</f>
        <v>0</v>
      </c>
      <c r="G9" s="144">
        <f>IF(F7=0,0,F9/F7)</f>
        <v>0</v>
      </c>
      <c r="H9" s="166"/>
      <c r="I9" s="164"/>
      <c r="J9" s="166"/>
      <c r="K9" s="166"/>
      <c r="L9" s="166"/>
      <c r="M9" s="166"/>
    </row>
    <row r="10" spans="1:13" ht="21.75" customHeight="1">
      <c r="A10" s="864" t="s">
        <v>277</v>
      </c>
      <c r="B10" s="862" t="s">
        <v>89</v>
      </c>
      <c r="C10" s="141" t="s">
        <v>464</v>
      </c>
      <c r="D10" s="143">
        <f>SUM(F10,J10:M10)</f>
        <v>0</v>
      </c>
      <c r="E10" s="144">
        <f>IF(D7=0,0,D10/D7)</f>
        <v>0</v>
      </c>
      <c r="F10" s="166"/>
      <c r="G10" s="144">
        <f>IF(F7=0,0,F10/F7)</f>
        <v>0</v>
      </c>
      <c r="H10" s="166"/>
      <c r="I10" s="164"/>
      <c r="J10" s="166"/>
      <c r="K10" s="166"/>
      <c r="L10" s="166"/>
      <c r="M10" s="166"/>
    </row>
    <row r="11" spans="1:13" ht="24" customHeight="1">
      <c r="A11" s="864"/>
      <c r="B11" s="862"/>
      <c r="C11" s="141" t="s">
        <v>465</v>
      </c>
      <c r="D11" s="143">
        <f>SUM(F11,J11:M11)</f>
        <v>0</v>
      </c>
      <c r="E11" s="144">
        <f>IF(D7=0,0,D11/D7)</f>
        <v>0</v>
      </c>
      <c r="F11" s="166"/>
      <c r="G11" s="144">
        <f>IF(F7=0,0,F11/F7)</f>
        <v>0</v>
      </c>
      <c r="H11" s="166"/>
      <c r="I11" s="164"/>
      <c r="J11" s="166"/>
      <c r="K11" s="166"/>
      <c r="L11" s="166"/>
      <c r="M11" s="166"/>
    </row>
    <row r="12" spans="1:13" ht="34.5" customHeight="1">
      <c r="A12" s="864" t="s">
        <v>402</v>
      </c>
      <c r="B12" s="862" t="s">
        <v>274</v>
      </c>
      <c r="C12" s="862"/>
      <c r="D12" s="143">
        <f>SUM(F12,J12:M12)</f>
        <v>30431.41525</v>
      </c>
      <c r="E12" s="144">
        <f>IF(D7=0,0,D12/D7)</f>
        <v>0.7519636213311286</v>
      </c>
      <c r="F12" s="143">
        <f>SUM(F13:F14)</f>
        <v>4547.5</v>
      </c>
      <c r="G12" s="144">
        <f>IF(F7=0,0,F12/F7)</f>
        <v>0.7519636213311286</v>
      </c>
      <c r="H12" s="143">
        <f>SUM(H13:H14)</f>
        <v>0.18966</v>
      </c>
      <c r="I12" s="164"/>
      <c r="J12" s="143">
        <f>SUM(J13:J14)</f>
        <v>5457</v>
      </c>
      <c r="K12" s="143">
        <f>SUM(K13:K14)</f>
        <v>6275.549999999999</v>
      </c>
      <c r="L12" s="143">
        <f>SUM(L13:L14)</f>
        <v>6903.105</v>
      </c>
      <c r="M12" s="143">
        <f>SUM(M13:M14)</f>
        <v>7248.26025</v>
      </c>
    </row>
    <row r="13" spans="1:13" ht="15">
      <c r="A13" s="864"/>
      <c r="B13" s="862" t="s">
        <v>466</v>
      </c>
      <c r="C13" s="862"/>
      <c r="D13" s="143">
        <f t="shared" si="0"/>
        <v>15215.707625</v>
      </c>
      <c r="E13" s="144">
        <f>IF(D12=0,0,D13/D12)</f>
        <v>0.5</v>
      </c>
      <c r="F13" s="166">
        <f>'6. Пров закупівлі'!F92/2</f>
        <v>2273.75</v>
      </c>
      <c r="G13" s="144">
        <f>IF(F12=0,0,F13/F12)</f>
        <v>0.5</v>
      </c>
      <c r="H13" s="877">
        <v>0.18966</v>
      </c>
      <c r="I13" s="164"/>
      <c r="J13" s="166">
        <f>F13*1.2</f>
        <v>2728.5</v>
      </c>
      <c r="K13" s="166">
        <f>J13*1.15</f>
        <v>3137.7749999999996</v>
      </c>
      <c r="L13" s="166">
        <f>K13*1.1</f>
        <v>3451.5525</v>
      </c>
      <c r="M13" s="166">
        <f>L13*1.05</f>
        <v>3624.130125</v>
      </c>
    </row>
    <row r="14" spans="1:13" ht="15">
      <c r="A14" s="864"/>
      <c r="B14" s="862" t="s">
        <v>467</v>
      </c>
      <c r="C14" s="862"/>
      <c r="D14" s="143">
        <f t="shared" si="0"/>
        <v>15215.707625</v>
      </c>
      <c r="E14" s="144">
        <f>IF(D12=0,0,D14/D12)</f>
        <v>0.5</v>
      </c>
      <c r="F14" s="166">
        <f>'6. Пров закупівлі'!F92/2</f>
        <v>2273.75</v>
      </c>
      <c r="G14" s="144">
        <f>IF(F12=0,0,F14/F12)</f>
        <v>0.5</v>
      </c>
      <c r="H14" s="877"/>
      <c r="I14" s="164"/>
      <c r="J14" s="166">
        <f>F14*1.2</f>
        <v>2728.5</v>
      </c>
      <c r="K14" s="166">
        <f>J14*1.15</f>
        <v>3137.7749999999996</v>
      </c>
      <c r="L14" s="166">
        <f>K14*1.1</f>
        <v>3451.5525</v>
      </c>
      <c r="M14" s="166">
        <f>L14*1.05</f>
        <v>3624.130125</v>
      </c>
    </row>
    <row r="15" spans="1:13" ht="39" customHeight="1">
      <c r="A15" s="163" t="s">
        <v>403</v>
      </c>
      <c r="B15" s="862" t="s">
        <v>275</v>
      </c>
      <c r="C15" s="862"/>
      <c r="D15" s="143">
        <f t="shared" si="0"/>
        <v>0</v>
      </c>
      <c r="E15" s="144">
        <f>IF(D7=0,0,D15/D7)</f>
        <v>0</v>
      </c>
      <c r="F15" s="166"/>
      <c r="G15" s="144">
        <f>IF(F7=0,0,F15/F7)</f>
        <v>0</v>
      </c>
      <c r="H15" s="166"/>
      <c r="I15" s="164"/>
      <c r="J15" s="166"/>
      <c r="K15" s="166"/>
      <c r="L15" s="166"/>
      <c r="M15" s="166"/>
    </row>
    <row r="16" spans="1:13" ht="23.25" customHeight="1">
      <c r="A16" s="163" t="s">
        <v>64</v>
      </c>
      <c r="B16" s="862" t="s">
        <v>462</v>
      </c>
      <c r="C16" s="862"/>
      <c r="D16" s="143">
        <f t="shared" si="0"/>
        <v>3072.853561</v>
      </c>
      <c r="E16" s="144">
        <f>IF(D17=0,0,D16/D17)</f>
        <v>0.07057198053080753</v>
      </c>
      <c r="F16" s="166">
        <f>'6. Пров закупівлі'!F99</f>
        <v>459.19000000000005</v>
      </c>
      <c r="G16" s="144">
        <f>IF(F17=0,0,F16/F17)</f>
        <v>0.07057198053080753</v>
      </c>
      <c r="H16" s="166"/>
      <c r="I16" s="164"/>
      <c r="J16" s="166">
        <f>(F16)*1.2</f>
        <v>551.028</v>
      </c>
      <c r="K16" s="166">
        <f>J16*1.15</f>
        <v>633.6822</v>
      </c>
      <c r="L16" s="166">
        <f>K16*1.1</f>
        <v>697.05042</v>
      </c>
      <c r="M16" s="166">
        <f>L16*1.05</f>
        <v>731.902941</v>
      </c>
    </row>
    <row r="17" spans="1:13" ht="18.75" customHeight="1">
      <c r="A17" s="141"/>
      <c r="B17" s="862" t="s">
        <v>525</v>
      </c>
      <c r="C17" s="862"/>
      <c r="D17" s="143">
        <f>SUM(D7,D16)</f>
        <v>43542.11881099999</v>
      </c>
      <c r="E17" s="144">
        <f aca="true" t="shared" si="1" ref="E17:M17">SUM(E7,E16)</f>
        <v>1</v>
      </c>
      <c r="F17" s="143">
        <f>SUM(F7,F16)</f>
        <v>6506.6900000000005</v>
      </c>
      <c r="G17" s="144">
        <f>SUM(G7,G16)</f>
        <v>0.9999999999999999</v>
      </c>
      <c r="H17" s="143">
        <f t="shared" si="1"/>
        <v>0.18966</v>
      </c>
      <c r="I17" s="164"/>
      <c r="J17" s="143">
        <f>SUM(J7,J16)</f>
        <v>7808.028</v>
      </c>
      <c r="K17" s="143">
        <f t="shared" si="1"/>
        <v>8979.232199999999</v>
      </c>
      <c r="L17" s="143">
        <f t="shared" si="1"/>
        <v>9877.15542</v>
      </c>
      <c r="M17" s="143">
        <f t="shared" si="1"/>
        <v>10371.013191</v>
      </c>
    </row>
    <row r="19" spans="10:13" ht="12.75">
      <c r="J19" s="843"/>
      <c r="K19" s="843"/>
      <c r="L19" s="843"/>
      <c r="M19" s="843"/>
    </row>
    <row r="23" ht="12.75">
      <c r="J23" s="843"/>
    </row>
  </sheetData>
  <sheetProtection/>
  <mergeCells count="28">
    <mergeCell ref="A10:A11"/>
    <mergeCell ref="B8:C8"/>
    <mergeCell ref="F2:M2"/>
    <mergeCell ref="M4:M5"/>
    <mergeCell ref="L4:L5"/>
    <mergeCell ref="B7:C7"/>
    <mergeCell ref="B6:C6"/>
    <mergeCell ref="B9:C9"/>
    <mergeCell ref="B10:B11"/>
    <mergeCell ref="F3:I3"/>
    <mergeCell ref="D2:E3"/>
    <mergeCell ref="H13:H14"/>
    <mergeCell ref="B12:C12"/>
    <mergeCell ref="B17:C17"/>
    <mergeCell ref="B13:C13"/>
    <mergeCell ref="B14:C14"/>
    <mergeCell ref="B15:C15"/>
    <mergeCell ref="B16:C16"/>
    <mergeCell ref="A12:A14"/>
    <mergeCell ref="A1:M1"/>
    <mergeCell ref="A2:A5"/>
    <mergeCell ref="B2:C5"/>
    <mergeCell ref="H4:I4"/>
    <mergeCell ref="J4:J5"/>
    <mergeCell ref="K4:K5"/>
    <mergeCell ref="F4:G4"/>
    <mergeCell ref="E4:E5"/>
    <mergeCell ref="D4:D5"/>
  </mergeCells>
  <printOptions/>
  <pageMargins left="1.1811023622047245" right="0.3937007874015748" top="0.7874015748031497" bottom="0.984251968503937" header="0.5118110236220472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J18"/>
  <sheetViews>
    <sheetView showZeros="0" view="pageBreakPreview" zoomScaleSheetLayoutView="100" zoomScalePageLayoutView="0" workbookViewId="0" topLeftCell="A1">
      <selection activeCell="C9" sqref="C9"/>
    </sheetView>
  </sheetViews>
  <sheetFormatPr defaultColWidth="9.00390625" defaultRowHeight="12.75"/>
  <cols>
    <col min="1" max="1" width="6.375" style="3" customWidth="1"/>
    <col min="2" max="2" width="35.75390625" style="3" customWidth="1"/>
    <col min="3" max="3" width="15.00390625" style="3" customWidth="1"/>
    <col min="4" max="5" width="11.25390625" style="3" customWidth="1"/>
    <col min="6" max="6" width="11.00390625" style="3" customWidth="1"/>
    <col min="7" max="7" width="13.625" style="3" customWidth="1"/>
    <col min="8" max="8" width="13.00390625" style="3" customWidth="1"/>
    <col min="9" max="10" width="12.75390625" style="3" customWidth="1"/>
    <col min="11" max="16384" width="9.125" style="3" customWidth="1"/>
  </cols>
  <sheetData>
    <row r="1" spans="1:10" ht="27" customHeight="1">
      <c r="A1" s="857" t="s">
        <v>278</v>
      </c>
      <c r="B1" s="857"/>
      <c r="C1" s="857"/>
      <c r="D1" s="857"/>
      <c r="E1" s="857"/>
      <c r="F1" s="857"/>
      <c r="G1" s="857"/>
      <c r="H1" s="857"/>
      <c r="I1" s="857"/>
      <c r="J1" s="857"/>
    </row>
    <row r="2" spans="1:10" ht="21.75" customHeight="1">
      <c r="A2" s="848" t="s">
        <v>457</v>
      </c>
      <c r="B2" s="848" t="s">
        <v>463</v>
      </c>
      <c r="C2" s="865" t="s">
        <v>661</v>
      </c>
      <c r="D2" s="865"/>
      <c r="E2" s="848" t="s">
        <v>371</v>
      </c>
      <c r="F2" s="848"/>
      <c r="G2" s="848"/>
      <c r="H2" s="848"/>
      <c r="I2" s="848"/>
      <c r="J2" s="848"/>
    </row>
    <row r="3" spans="1:10" ht="27" customHeight="1">
      <c r="A3" s="848"/>
      <c r="B3" s="848"/>
      <c r="C3" s="865"/>
      <c r="D3" s="865"/>
      <c r="E3" s="866">
        <v>2016</v>
      </c>
      <c r="F3" s="866"/>
      <c r="G3" s="514">
        <v>2017</v>
      </c>
      <c r="H3" s="514">
        <v>2018</v>
      </c>
      <c r="I3" s="514">
        <v>2019</v>
      </c>
      <c r="J3" s="514">
        <v>2020</v>
      </c>
    </row>
    <row r="4" spans="1:10" ht="23.25" customHeight="1">
      <c r="A4" s="848"/>
      <c r="B4" s="848"/>
      <c r="C4" s="848" t="s">
        <v>326</v>
      </c>
      <c r="D4" s="848" t="s">
        <v>460</v>
      </c>
      <c r="E4" s="848" t="s">
        <v>376</v>
      </c>
      <c r="F4" s="848"/>
      <c r="G4" s="848" t="s">
        <v>37</v>
      </c>
      <c r="H4" s="848" t="s">
        <v>37</v>
      </c>
      <c r="I4" s="848" t="s">
        <v>37</v>
      </c>
      <c r="J4" s="848" t="s">
        <v>37</v>
      </c>
    </row>
    <row r="5" spans="1:10" ht="17.25" customHeight="1">
      <c r="A5" s="848"/>
      <c r="B5" s="848"/>
      <c r="C5" s="848"/>
      <c r="D5" s="848"/>
      <c r="E5" s="513" t="s">
        <v>37</v>
      </c>
      <c r="F5" s="513" t="s">
        <v>460</v>
      </c>
      <c r="G5" s="848"/>
      <c r="H5" s="848"/>
      <c r="I5" s="848"/>
      <c r="J5" s="848"/>
    </row>
    <row r="6" spans="1:10" ht="15" customHeight="1">
      <c r="A6" s="513">
        <v>1</v>
      </c>
      <c r="B6" s="513">
        <v>2</v>
      </c>
      <c r="C6" s="513">
        <v>3</v>
      </c>
      <c r="D6" s="513">
        <v>4</v>
      </c>
      <c r="E6" s="513">
        <v>5</v>
      </c>
      <c r="F6" s="513">
        <v>6</v>
      </c>
      <c r="G6" s="513">
        <v>7</v>
      </c>
      <c r="H6" s="513">
        <v>8</v>
      </c>
      <c r="I6" s="513">
        <v>9</v>
      </c>
      <c r="J6" s="513">
        <v>10</v>
      </c>
    </row>
    <row r="7" spans="1:10" ht="85.5" customHeight="1">
      <c r="A7" s="141">
        <v>1</v>
      </c>
      <c r="B7" s="141" t="s">
        <v>489</v>
      </c>
      <c r="C7" s="143">
        <f aca="true" t="shared" si="0" ref="C7:C12">SUM(E7,G7:J7)</f>
        <v>8574.0704859</v>
      </c>
      <c r="D7" s="144">
        <f>IF(C13=0,0,C7/C13)</f>
        <v>1</v>
      </c>
      <c r="E7" s="143">
        <f>SUM(E8:E11)</f>
        <v>1281.2610000000002</v>
      </c>
      <c r="F7" s="144">
        <f>IF(E13=0,0,E7/E13)</f>
        <v>1</v>
      </c>
      <c r="G7" s="143">
        <f>SUM(G8:G11)</f>
        <v>1537.5132</v>
      </c>
      <c r="H7" s="143">
        <f>SUM(H8:H11)</f>
        <v>1768.1401799999999</v>
      </c>
      <c r="I7" s="143">
        <f>SUM(I8:I11)</f>
        <v>1944.954198</v>
      </c>
      <c r="J7" s="143">
        <f>SUM(J8:J11)</f>
        <v>2042.2019079</v>
      </c>
    </row>
    <row r="8" spans="1:10" ht="28.5" customHeight="1">
      <c r="A8" s="163" t="s">
        <v>38</v>
      </c>
      <c r="B8" s="141" t="s">
        <v>423</v>
      </c>
      <c r="C8" s="143">
        <f t="shared" si="0"/>
        <v>0</v>
      </c>
      <c r="D8" s="144">
        <f>IF(C7=0,0,C8/C7)</f>
        <v>0</v>
      </c>
      <c r="E8" s="166">
        <f>'6. Пров закупівлі'!F110</f>
        <v>0</v>
      </c>
      <c r="F8" s="144">
        <f>IF(E7=0,0,E8/E7)</f>
        <v>0</v>
      </c>
      <c r="G8" s="166">
        <f>E8*1.2</f>
        <v>0</v>
      </c>
      <c r="H8" s="166">
        <f>G8*1.15</f>
        <v>0</v>
      </c>
      <c r="I8" s="166">
        <f>H8*1.1</f>
        <v>0</v>
      </c>
      <c r="J8" s="166">
        <f>I8*1.05</f>
        <v>0</v>
      </c>
    </row>
    <row r="9" spans="1:10" ht="15.75" customHeight="1">
      <c r="A9" s="163" t="s">
        <v>39</v>
      </c>
      <c r="B9" s="141" t="s">
        <v>279</v>
      </c>
      <c r="C9" s="143">
        <f t="shared" si="0"/>
        <v>8574.0704859</v>
      </c>
      <c r="D9" s="144">
        <f>IF(C7=0,0,C9/C7)</f>
        <v>1</v>
      </c>
      <c r="E9" s="166">
        <f>'6. Пров закупівлі'!F137</f>
        <v>1281.2610000000002</v>
      </c>
      <c r="F9" s="144">
        <f>IF(E7=0,0,E9/E7)</f>
        <v>1</v>
      </c>
      <c r="G9" s="166">
        <f>E9*1.2</f>
        <v>1537.5132</v>
      </c>
      <c r="H9" s="166">
        <f>G9*1.15</f>
        <v>1768.1401799999999</v>
      </c>
      <c r="I9" s="166">
        <f>H9*1.1</f>
        <v>1944.954198</v>
      </c>
      <c r="J9" s="166">
        <f>I9*1.05</f>
        <v>2042.2019079</v>
      </c>
    </row>
    <row r="10" spans="1:10" ht="15.75" customHeight="1">
      <c r="A10" s="163" t="s">
        <v>401</v>
      </c>
      <c r="B10" s="141" t="s">
        <v>542</v>
      </c>
      <c r="C10" s="143">
        <f t="shared" si="0"/>
        <v>0</v>
      </c>
      <c r="D10" s="144">
        <f>IF(C7=0,0,C10/C7)</f>
        <v>0</v>
      </c>
      <c r="E10" s="166">
        <v>0</v>
      </c>
      <c r="F10" s="144">
        <f>IF(E7=0,0,E10/E7)</f>
        <v>0</v>
      </c>
      <c r="G10" s="166">
        <f>E10*1.2</f>
        <v>0</v>
      </c>
      <c r="H10" s="166">
        <f>G10*1.15</f>
        <v>0</v>
      </c>
      <c r="I10" s="166">
        <f>H10*1.1</f>
        <v>0</v>
      </c>
      <c r="J10" s="166">
        <f>I10*1.05</f>
        <v>0</v>
      </c>
    </row>
    <row r="11" spans="1:10" ht="15.75" customHeight="1">
      <c r="A11" s="163" t="s">
        <v>402</v>
      </c>
      <c r="B11" s="141" t="s">
        <v>543</v>
      </c>
      <c r="C11" s="143">
        <f t="shared" si="0"/>
        <v>0</v>
      </c>
      <c r="D11" s="144">
        <f>IF(C7=0,0,C11/C7)</f>
        <v>0</v>
      </c>
      <c r="E11" s="166">
        <v>0</v>
      </c>
      <c r="F11" s="144">
        <f>IF(E7=0,0,E11/E7)</f>
        <v>0</v>
      </c>
      <c r="G11" s="166">
        <f>E11*1.2</f>
        <v>0</v>
      </c>
      <c r="H11" s="166">
        <f>G11*1.15</f>
        <v>0</v>
      </c>
      <c r="I11" s="166">
        <f>H11*1.1</f>
        <v>0</v>
      </c>
      <c r="J11" s="166">
        <f>I11*1.05</f>
        <v>0</v>
      </c>
    </row>
    <row r="12" spans="1:10" ht="15" customHeight="1">
      <c r="A12" s="163" t="s">
        <v>64</v>
      </c>
      <c r="B12" s="141" t="s">
        <v>462</v>
      </c>
      <c r="C12" s="143">
        <f t="shared" si="0"/>
        <v>0</v>
      </c>
      <c r="D12" s="144">
        <f>IF(C13=0,0,C12/C13)</f>
        <v>0</v>
      </c>
      <c r="E12" s="166">
        <f>'6. Пров закупівлі'!F144</f>
        <v>0</v>
      </c>
      <c r="F12" s="144">
        <f>IF(E13=0,0,E12/E13)</f>
        <v>0</v>
      </c>
      <c r="G12" s="166">
        <f>E12*1.2</f>
        <v>0</v>
      </c>
      <c r="H12" s="166">
        <f>G12*1.15</f>
        <v>0</v>
      </c>
      <c r="I12" s="166">
        <f>H12*1.1</f>
        <v>0</v>
      </c>
      <c r="J12" s="166">
        <f>I12*1.05</f>
        <v>0</v>
      </c>
    </row>
    <row r="13" spans="1:10" ht="19.5" customHeight="1">
      <c r="A13" s="862" t="s">
        <v>525</v>
      </c>
      <c r="B13" s="862"/>
      <c r="C13" s="143">
        <f aca="true" t="shared" si="1" ref="C13:J13">SUM(C7,C12)</f>
        <v>8574.0704859</v>
      </c>
      <c r="D13" s="208">
        <f t="shared" si="1"/>
        <v>1</v>
      </c>
      <c r="E13" s="143">
        <f t="shared" si="1"/>
        <v>1281.2610000000002</v>
      </c>
      <c r="F13" s="144">
        <f t="shared" si="1"/>
        <v>1</v>
      </c>
      <c r="G13" s="143">
        <f t="shared" si="1"/>
        <v>1537.5132</v>
      </c>
      <c r="H13" s="143">
        <f t="shared" si="1"/>
        <v>1768.1401799999999</v>
      </c>
      <c r="I13" s="143">
        <f t="shared" si="1"/>
        <v>1944.954198</v>
      </c>
      <c r="J13" s="143">
        <f t="shared" si="1"/>
        <v>2042.2019079</v>
      </c>
    </row>
    <row r="14" spans="5:6" ht="12.75">
      <c r="E14" s="20"/>
      <c r="F14" s="20"/>
    </row>
    <row r="15" spans="4:6" ht="12.75">
      <c r="D15" s="21"/>
      <c r="F15" s="21"/>
    </row>
    <row r="18" spans="5:8" ht="12.75">
      <c r="E18" s="21"/>
      <c r="F18" s="21"/>
      <c r="G18" s="21"/>
      <c r="H18" s="21"/>
    </row>
  </sheetData>
  <sheetProtection/>
  <mergeCells count="14">
    <mergeCell ref="A13:B13"/>
    <mergeCell ref="A1:J1"/>
    <mergeCell ref="C4:C5"/>
    <mergeCell ref="D4:D5"/>
    <mergeCell ref="E3:F3"/>
    <mergeCell ref="G4:G5"/>
    <mergeCell ref="A2:A5"/>
    <mergeCell ref="B2:B5"/>
    <mergeCell ref="H4:H5"/>
    <mergeCell ref="I4:I5"/>
    <mergeCell ref="C2:D3"/>
    <mergeCell ref="E2:J2"/>
    <mergeCell ref="E4:F4"/>
    <mergeCell ref="J4:J5"/>
  </mergeCells>
  <printOptions/>
  <pageMargins left="1.377952755905511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view="pageBreakPreview" zoomScaleSheetLayoutView="100" zoomScalePageLayoutView="0" workbookViewId="0" topLeftCell="A1">
      <selection activeCell="F5" sqref="F5"/>
    </sheetView>
  </sheetViews>
  <sheetFormatPr defaultColWidth="9.00390625" defaultRowHeight="12.75"/>
  <cols>
    <col min="1" max="1" width="5.00390625" style="428" customWidth="1"/>
    <col min="2" max="2" width="28.375" style="423" customWidth="1"/>
    <col min="3" max="3" width="14.125" style="423" customWidth="1"/>
    <col min="4" max="4" width="22.875" style="423" customWidth="1"/>
    <col min="5" max="5" width="19.75390625" style="423" customWidth="1"/>
    <col min="6" max="6" width="23.625" style="429" customWidth="1"/>
    <col min="7" max="7" width="22.75390625" style="650" customWidth="1"/>
    <col min="8" max="8" width="21.00390625" style="423" customWidth="1"/>
    <col min="9" max="9" width="10.875" style="423" customWidth="1"/>
    <col min="10" max="16384" width="9.125" style="423" customWidth="1"/>
  </cols>
  <sheetData>
    <row r="1" spans="1:9" ht="15.75">
      <c r="A1" s="846" t="s">
        <v>424</v>
      </c>
      <c r="B1" s="846"/>
      <c r="C1" s="846"/>
      <c r="D1" s="846"/>
      <c r="E1" s="846"/>
      <c r="F1" s="846"/>
      <c r="G1" s="846"/>
      <c r="H1" s="846"/>
      <c r="I1" s="846"/>
    </row>
    <row r="2" spans="1:9" ht="125.25" customHeight="1">
      <c r="A2" s="528" t="s">
        <v>448</v>
      </c>
      <c r="B2" s="420" t="s">
        <v>280</v>
      </c>
      <c r="C2" s="420" t="s">
        <v>281</v>
      </c>
      <c r="D2" s="420" t="s">
        <v>327</v>
      </c>
      <c r="E2" s="420" t="s">
        <v>328</v>
      </c>
      <c r="F2" s="420" t="s">
        <v>497</v>
      </c>
      <c r="G2" s="420" t="s">
        <v>498</v>
      </c>
      <c r="H2" s="420" t="s">
        <v>499</v>
      </c>
      <c r="I2" s="420" t="s">
        <v>540</v>
      </c>
    </row>
    <row r="3" spans="1:9" ht="15">
      <c r="A3" s="426">
        <v>1</v>
      </c>
      <c r="B3" s="420">
        <v>2</v>
      </c>
      <c r="C3" s="420">
        <v>3</v>
      </c>
      <c r="D3" s="485">
        <v>4</v>
      </c>
      <c r="E3" s="485">
        <v>5</v>
      </c>
      <c r="F3" s="420">
        <v>6</v>
      </c>
      <c r="G3" s="420">
        <v>7</v>
      </c>
      <c r="H3" s="420">
        <v>8</v>
      </c>
      <c r="I3" s="532">
        <v>9</v>
      </c>
    </row>
    <row r="4" spans="1:9" ht="15.75">
      <c r="A4" s="533" t="s">
        <v>64</v>
      </c>
      <c r="B4" s="534" t="s">
        <v>106</v>
      </c>
      <c r="C4" s="406">
        <v>2004</v>
      </c>
      <c r="D4" s="407">
        <v>4266.87</v>
      </c>
      <c r="E4" s="407">
        <v>773.5</v>
      </c>
      <c r="F4" s="408"/>
      <c r="G4" s="408"/>
      <c r="H4" s="408"/>
      <c r="I4" s="427"/>
    </row>
    <row r="5" spans="1:9" ht="15.75">
      <c r="A5" s="533" t="s">
        <v>65</v>
      </c>
      <c r="B5" s="534" t="s">
        <v>683</v>
      </c>
      <c r="C5" s="406">
        <v>2004</v>
      </c>
      <c r="D5" s="878">
        <v>2772.11</v>
      </c>
      <c r="E5" s="407">
        <v>208.16</v>
      </c>
      <c r="F5" s="408"/>
      <c r="G5" s="408"/>
      <c r="H5" s="408"/>
      <c r="I5" s="427"/>
    </row>
    <row r="6" spans="1:9" ht="15.75">
      <c r="A6" s="533" t="s">
        <v>66</v>
      </c>
      <c r="B6" s="534" t="s">
        <v>107</v>
      </c>
      <c r="C6" s="406">
        <v>2005</v>
      </c>
      <c r="D6" s="879"/>
      <c r="E6" s="407">
        <v>431.39</v>
      </c>
      <c r="F6" s="408"/>
      <c r="G6" s="408"/>
      <c r="H6" s="408"/>
      <c r="I6" s="427"/>
    </row>
    <row r="7" spans="1:9" ht="15.75">
      <c r="A7" s="533" t="s">
        <v>456</v>
      </c>
      <c r="B7" s="534" t="s">
        <v>684</v>
      </c>
      <c r="C7" s="406">
        <v>2006</v>
      </c>
      <c r="D7" s="878">
        <v>4891.95</v>
      </c>
      <c r="E7" s="407">
        <v>400</v>
      </c>
      <c r="F7" s="408"/>
      <c r="G7" s="408"/>
      <c r="H7" s="408"/>
      <c r="I7" s="427"/>
    </row>
    <row r="8" spans="1:9" ht="15.75">
      <c r="A8" s="533" t="s">
        <v>433</v>
      </c>
      <c r="B8" s="534" t="s">
        <v>109</v>
      </c>
      <c r="C8" s="406">
        <v>2006</v>
      </c>
      <c r="D8" s="880"/>
      <c r="E8" s="407">
        <v>564.82</v>
      </c>
      <c r="F8" s="408"/>
      <c r="G8" s="408"/>
      <c r="H8" s="408"/>
      <c r="I8" s="427"/>
    </row>
    <row r="9" spans="1:9" ht="15.75">
      <c r="A9" s="533" t="s">
        <v>67</v>
      </c>
      <c r="B9" s="534" t="s">
        <v>108</v>
      </c>
      <c r="C9" s="406">
        <v>2006</v>
      </c>
      <c r="D9" s="407">
        <v>2962.35</v>
      </c>
      <c r="E9" s="407">
        <v>376.98</v>
      </c>
      <c r="F9" s="408"/>
      <c r="G9" s="408"/>
      <c r="H9" s="408"/>
      <c r="I9" s="427"/>
    </row>
    <row r="10" spans="1:9" ht="15.75">
      <c r="A10" s="533" t="s">
        <v>68</v>
      </c>
      <c r="B10" s="534" t="s">
        <v>110</v>
      </c>
      <c r="C10" s="406">
        <v>2007</v>
      </c>
      <c r="D10" s="407">
        <v>3123.61</v>
      </c>
      <c r="E10" s="407">
        <v>655.73</v>
      </c>
      <c r="F10" s="408"/>
      <c r="G10" s="408"/>
      <c r="H10" s="408"/>
      <c r="I10" s="427"/>
    </row>
    <row r="11" spans="1:9" ht="15.75">
      <c r="A11" s="533" t="s">
        <v>69</v>
      </c>
      <c r="B11" s="534" t="s">
        <v>111</v>
      </c>
      <c r="C11" s="406">
        <v>2007</v>
      </c>
      <c r="D11" s="409">
        <v>936.29</v>
      </c>
      <c r="E11" s="407">
        <v>183.91</v>
      </c>
      <c r="F11" s="408"/>
      <c r="G11" s="408"/>
      <c r="H11" s="408"/>
      <c r="I11" s="427"/>
    </row>
    <row r="12" spans="1:9" ht="15.75">
      <c r="A12" s="533" t="s">
        <v>70</v>
      </c>
      <c r="B12" s="534" t="s">
        <v>112</v>
      </c>
      <c r="C12" s="406">
        <v>2008</v>
      </c>
      <c r="D12" s="407">
        <v>1301.75</v>
      </c>
      <c r="E12" s="407">
        <v>628.26</v>
      </c>
      <c r="F12" s="408"/>
      <c r="G12" s="408"/>
      <c r="H12" s="408"/>
      <c r="I12" s="427"/>
    </row>
    <row r="13" spans="1:9" ht="15.75">
      <c r="A13" s="533" t="s">
        <v>71</v>
      </c>
      <c r="B13" s="534" t="s">
        <v>111</v>
      </c>
      <c r="C13" s="406">
        <v>2008</v>
      </c>
      <c r="D13" s="409">
        <v>468.14</v>
      </c>
      <c r="E13" s="409">
        <v>347.53</v>
      </c>
      <c r="F13" s="408"/>
      <c r="G13" s="408"/>
      <c r="H13" s="408"/>
      <c r="I13" s="427"/>
    </row>
    <row r="14" spans="1:9" ht="45">
      <c r="A14" s="533" t="s">
        <v>116</v>
      </c>
      <c r="B14" s="534" t="s">
        <v>113</v>
      </c>
      <c r="C14" s="410">
        <v>2008</v>
      </c>
      <c r="D14" s="419">
        <v>1073.46</v>
      </c>
      <c r="E14" s="963">
        <v>1188.33</v>
      </c>
      <c r="F14" s="408"/>
      <c r="G14" s="408"/>
      <c r="H14" s="408"/>
      <c r="I14" s="427"/>
    </row>
    <row r="15" spans="1:9" ht="15.75">
      <c r="A15" s="885" t="s">
        <v>118</v>
      </c>
      <c r="B15" s="887" t="s">
        <v>114</v>
      </c>
      <c r="C15" s="411">
        <v>2009</v>
      </c>
      <c r="D15" s="881">
        <v>1794.31</v>
      </c>
      <c r="E15" s="51">
        <v>499.68</v>
      </c>
      <c r="F15" s="408"/>
      <c r="G15" s="408"/>
      <c r="H15" s="408"/>
      <c r="I15" s="427"/>
    </row>
    <row r="16" spans="1:9" ht="15.75">
      <c r="A16" s="886"/>
      <c r="B16" s="888"/>
      <c r="C16" s="411">
        <v>2010</v>
      </c>
      <c r="D16" s="882"/>
      <c r="E16" s="51">
        <v>1008.24</v>
      </c>
      <c r="F16" s="408"/>
      <c r="G16" s="408"/>
      <c r="H16" s="408"/>
      <c r="I16" s="427"/>
    </row>
    <row r="17" spans="1:9" ht="15.75">
      <c r="A17" s="533" t="s">
        <v>120</v>
      </c>
      <c r="B17" s="535" t="s">
        <v>115</v>
      </c>
      <c r="C17" s="411">
        <v>2010</v>
      </c>
      <c r="D17" s="51">
        <v>2181.32</v>
      </c>
      <c r="E17" s="51">
        <v>1669.14</v>
      </c>
      <c r="F17" s="408"/>
      <c r="G17" s="408"/>
      <c r="H17" s="408"/>
      <c r="I17" s="427"/>
    </row>
    <row r="18" spans="1:9" ht="15.75">
      <c r="A18" s="533" t="s">
        <v>121</v>
      </c>
      <c r="B18" s="534" t="s">
        <v>737</v>
      </c>
      <c r="C18" s="411">
        <v>2011</v>
      </c>
      <c r="D18" s="412">
        <v>712.44</v>
      </c>
      <c r="E18" s="51">
        <v>762.12</v>
      </c>
      <c r="F18" s="408"/>
      <c r="G18" s="408"/>
      <c r="H18" s="413"/>
      <c r="I18" s="427"/>
    </row>
    <row r="19" spans="1:9" ht="15.75">
      <c r="A19" s="533" t="s">
        <v>123</v>
      </c>
      <c r="B19" s="535" t="s">
        <v>119</v>
      </c>
      <c r="C19" s="411">
        <v>2011</v>
      </c>
      <c r="D19" s="412">
        <v>287.32</v>
      </c>
      <c r="E19" s="412">
        <v>562.08</v>
      </c>
      <c r="F19" s="408"/>
      <c r="G19" s="408"/>
      <c r="H19" s="414"/>
      <c r="I19" s="427"/>
    </row>
    <row r="20" spans="1:9" ht="15.75">
      <c r="A20" s="885" t="s">
        <v>125</v>
      </c>
      <c r="B20" s="889" t="s">
        <v>122</v>
      </c>
      <c r="C20" s="411">
        <v>2011</v>
      </c>
      <c r="D20" s="883">
        <v>246.4</v>
      </c>
      <c r="E20" s="412">
        <v>39.31</v>
      </c>
      <c r="F20" s="408"/>
      <c r="G20" s="408"/>
      <c r="H20" s="414"/>
      <c r="I20" s="427"/>
    </row>
    <row r="21" spans="1:9" ht="15.75">
      <c r="A21" s="886"/>
      <c r="B21" s="890"/>
      <c r="C21" s="411">
        <v>2012</v>
      </c>
      <c r="D21" s="884"/>
      <c r="E21" s="412">
        <v>96.79</v>
      </c>
      <c r="F21" s="408"/>
      <c r="G21" s="408"/>
      <c r="H21" s="414"/>
      <c r="I21" s="427"/>
    </row>
    <row r="22" spans="1:9" ht="15.75">
      <c r="A22" s="533" t="s">
        <v>127</v>
      </c>
      <c r="B22" s="534" t="s">
        <v>738</v>
      </c>
      <c r="C22" s="411">
        <v>2012</v>
      </c>
      <c r="D22" s="397">
        <v>237.48</v>
      </c>
      <c r="E22" s="412">
        <v>277.62</v>
      </c>
      <c r="F22" s="408"/>
      <c r="G22" s="408"/>
      <c r="H22" s="414"/>
      <c r="I22" s="427"/>
    </row>
    <row r="23" spans="1:9" ht="15.75">
      <c r="A23" s="533" t="s">
        <v>128</v>
      </c>
      <c r="B23" s="535" t="s">
        <v>513</v>
      </c>
      <c r="C23" s="411">
        <v>2012</v>
      </c>
      <c r="D23" s="51">
        <v>861.98</v>
      </c>
      <c r="E23" s="412">
        <v>733.15</v>
      </c>
      <c r="F23" s="408"/>
      <c r="G23" s="408"/>
      <c r="H23" s="414"/>
      <c r="I23" s="427"/>
    </row>
    <row r="24" spans="1:9" ht="15.75">
      <c r="A24" s="533" t="s">
        <v>129</v>
      </c>
      <c r="B24" s="535" t="s">
        <v>124</v>
      </c>
      <c r="C24" s="411">
        <v>2012</v>
      </c>
      <c r="D24" s="51">
        <v>1512.85</v>
      </c>
      <c r="E24" s="51">
        <v>1861.02</v>
      </c>
      <c r="F24" s="408"/>
      <c r="G24" s="408"/>
      <c r="H24" s="414"/>
      <c r="I24" s="427"/>
    </row>
    <row r="25" spans="1:9" ht="15.75">
      <c r="A25" s="533" t="s">
        <v>130</v>
      </c>
      <c r="B25" s="535" t="s">
        <v>126</v>
      </c>
      <c r="C25" s="411">
        <v>2012</v>
      </c>
      <c r="D25" s="412">
        <v>861.97</v>
      </c>
      <c r="E25" s="51">
        <v>1342.24</v>
      </c>
      <c r="F25" s="408"/>
      <c r="G25" s="408"/>
      <c r="H25" s="414"/>
      <c r="I25" s="427"/>
    </row>
    <row r="26" spans="1:9" ht="15.75">
      <c r="A26" s="533" t="s">
        <v>132</v>
      </c>
      <c r="B26" s="535" t="s">
        <v>739</v>
      </c>
      <c r="C26" s="411">
        <v>2013</v>
      </c>
      <c r="D26" s="51">
        <v>933.93</v>
      </c>
      <c r="E26" s="415">
        <v>2046.93</v>
      </c>
      <c r="F26" s="415"/>
      <c r="G26" s="415"/>
      <c r="H26" s="414"/>
      <c r="I26" s="427"/>
    </row>
    <row r="27" spans="1:9" ht="15.75">
      <c r="A27" s="533" t="s">
        <v>685</v>
      </c>
      <c r="B27" s="535" t="s">
        <v>740</v>
      </c>
      <c r="C27" s="411">
        <v>2014</v>
      </c>
      <c r="D27" s="412">
        <v>233.48</v>
      </c>
      <c r="E27" s="416">
        <v>296.69</v>
      </c>
      <c r="F27" s="408"/>
      <c r="G27" s="408"/>
      <c r="H27" s="414"/>
      <c r="I27" s="427"/>
    </row>
    <row r="28" spans="1:9" ht="15.75">
      <c r="A28" s="533" t="s">
        <v>134</v>
      </c>
      <c r="B28" s="535" t="s">
        <v>741</v>
      </c>
      <c r="C28" s="411">
        <v>2015</v>
      </c>
      <c r="D28" s="412">
        <v>700.46</v>
      </c>
      <c r="E28" s="416"/>
      <c r="F28" s="408">
        <v>378.52</v>
      </c>
      <c r="G28" s="408"/>
      <c r="H28" s="414"/>
      <c r="I28" s="427"/>
    </row>
    <row r="29" spans="1:9" ht="15.75">
      <c r="A29" s="533" t="s">
        <v>686</v>
      </c>
      <c r="B29" s="535" t="s">
        <v>119</v>
      </c>
      <c r="C29" s="411">
        <v>2015</v>
      </c>
      <c r="D29" s="412">
        <v>287.32</v>
      </c>
      <c r="E29" s="416"/>
      <c r="F29" s="408">
        <v>126.18</v>
      </c>
      <c r="G29" s="408"/>
      <c r="H29" s="414"/>
      <c r="I29" s="427"/>
    </row>
    <row r="30" spans="1:9" ht="15.75">
      <c r="A30" s="533" t="s">
        <v>687</v>
      </c>
      <c r="B30" s="535" t="s">
        <v>742</v>
      </c>
      <c r="C30" s="411">
        <v>2015</v>
      </c>
      <c r="D30" s="646">
        <v>246.28</v>
      </c>
      <c r="E30" s="416"/>
      <c r="F30" s="408">
        <v>1761.13</v>
      </c>
      <c r="G30" s="408"/>
      <c r="H30" s="51"/>
      <c r="I30" s="427"/>
    </row>
    <row r="31" spans="1:9" ht="15.75">
      <c r="A31" s="533" t="s">
        <v>138</v>
      </c>
      <c r="B31" s="535" t="s">
        <v>741</v>
      </c>
      <c r="C31" s="411">
        <v>2016</v>
      </c>
      <c r="D31" s="642">
        <v>700.45</v>
      </c>
      <c r="E31" s="416"/>
      <c r="F31" s="408"/>
      <c r="G31" s="408">
        <v>1001.21</v>
      </c>
      <c r="H31" s="51"/>
      <c r="I31" s="427"/>
    </row>
    <row r="32" spans="1:9" ht="15.75">
      <c r="A32" s="533" t="s">
        <v>140</v>
      </c>
      <c r="B32" s="535" t="s">
        <v>119</v>
      </c>
      <c r="C32" s="411">
        <v>2016</v>
      </c>
      <c r="D32" s="412">
        <v>287.32</v>
      </c>
      <c r="E32" s="416"/>
      <c r="F32" s="408"/>
      <c r="G32" s="408">
        <v>280.05</v>
      </c>
      <c r="H32" s="51"/>
      <c r="I32" s="427"/>
    </row>
    <row r="33" spans="1:9" ht="15.75">
      <c r="A33" s="533" t="s">
        <v>142</v>
      </c>
      <c r="B33" s="535" t="s">
        <v>743</v>
      </c>
      <c r="C33" s="398">
        <v>2017</v>
      </c>
      <c r="D33" s="51">
        <v>985.1</v>
      </c>
      <c r="E33" s="416"/>
      <c r="F33" s="408"/>
      <c r="G33" s="408"/>
      <c r="H33" s="51"/>
      <c r="I33" s="427"/>
    </row>
    <row r="34" spans="1:9" ht="15.75">
      <c r="A34" s="533" t="s">
        <v>689</v>
      </c>
      <c r="B34" s="534" t="s">
        <v>688</v>
      </c>
      <c r="C34" s="411">
        <v>2017</v>
      </c>
      <c r="D34" s="51">
        <v>3870.07</v>
      </c>
      <c r="E34" s="416"/>
      <c r="F34" s="408"/>
      <c r="G34" s="408"/>
      <c r="H34" s="51"/>
      <c r="I34" s="427"/>
    </row>
    <row r="35" spans="1:9" ht="15.75">
      <c r="A35" s="533" t="s">
        <v>690</v>
      </c>
      <c r="B35" s="535" t="s">
        <v>512</v>
      </c>
      <c r="C35" s="411">
        <v>2018</v>
      </c>
      <c r="D35" s="51">
        <v>2550.73</v>
      </c>
      <c r="E35" s="416"/>
      <c r="F35" s="408"/>
      <c r="G35" s="408"/>
      <c r="H35" s="51"/>
      <c r="I35" s="427"/>
    </row>
    <row r="36" spans="1:9" ht="15.75">
      <c r="A36" s="533" t="s">
        <v>691</v>
      </c>
      <c r="B36" s="534" t="s">
        <v>131</v>
      </c>
      <c r="C36" s="411">
        <v>2018</v>
      </c>
      <c r="D36" s="51">
        <v>1600.8</v>
      </c>
      <c r="E36" s="416"/>
      <c r="F36" s="408"/>
      <c r="G36" s="408"/>
      <c r="H36" s="51"/>
      <c r="I36" s="427"/>
    </row>
    <row r="37" spans="1:9" ht="15.75">
      <c r="A37" s="533" t="s">
        <v>692</v>
      </c>
      <c r="B37" s="535" t="s">
        <v>133</v>
      </c>
      <c r="C37" s="411">
        <v>2019</v>
      </c>
      <c r="D37" s="412">
        <v>932.33</v>
      </c>
      <c r="E37" s="416"/>
      <c r="F37" s="408"/>
      <c r="G37" s="408"/>
      <c r="H37" s="412"/>
      <c r="I37" s="427"/>
    </row>
    <row r="38" spans="1:9" ht="15.75">
      <c r="A38" s="533" t="s">
        <v>693</v>
      </c>
      <c r="B38" s="535" t="s">
        <v>135</v>
      </c>
      <c r="C38" s="411">
        <v>2019</v>
      </c>
      <c r="D38" s="51">
        <v>1196.2</v>
      </c>
      <c r="E38" s="416"/>
      <c r="F38" s="408"/>
      <c r="G38" s="408"/>
      <c r="H38" s="51"/>
      <c r="I38" s="427"/>
    </row>
    <row r="39" spans="1:9" ht="15.75">
      <c r="A39" s="533" t="s">
        <v>694</v>
      </c>
      <c r="B39" s="535" t="s">
        <v>137</v>
      </c>
      <c r="C39" s="411">
        <v>2019</v>
      </c>
      <c r="D39" s="412">
        <v>351.83</v>
      </c>
      <c r="E39" s="416"/>
      <c r="F39" s="408"/>
      <c r="G39" s="408"/>
      <c r="H39" s="412"/>
      <c r="I39" s="427"/>
    </row>
    <row r="40" spans="1:9" ht="15.75">
      <c r="A40" s="533" t="s">
        <v>695</v>
      </c>
      <c r="B40" s="535" t="s">
        <v>139</v>
      </c>
      <c r="C40" s="411">
        <v>2019</v>
      </c>
      <c r="D40" s="412">
        <v>703.65</v>
      </c>
      <c r="E40" s="416"/>
      <c r="F40" s="408"/>
      <c r="G40" s="408"/>
      <c r="H40" s="412"/>
      <c r="I40" s="427"/>
    </row>
    <row r="41" spans="1:9" ht="15.75">
      <c r="A41" s="533" t="s">
        <v>696</v>
      </c>
      <c r="B41" s="535" t="s">
        <v>141</v>
      </c>
      <c r="C41" s="411">
        <v>2019</v>
      </c>
      <c r="D41" s="412">
        <v>492.55</v>
      </c>
      <c r="E41" s="416"/>
      <c r="F41" s="408"/>
      <c r="G41" s="408"/>
      <c r="H41" s="412"/>
      <c r="I41" s="427"/>
    </row>
    <row r="42" spans="1:9" ht="15.75">
      <c r="A42" s="533" t="s">
        <v>744</v>
      </c>
      <c r="B42" s="535" t="s">
        <v>143</v>
      </c>
      <c r="C42" s="411">
        <v>2019</v>
      </c>
      <c r="D42" s="412">
        <v>457.37</v>
      </c>
      <c r="E42" s="416"/>
      <c r="F42" s="408"/>
      <c r="G42" s="408"/>
      <c r="H42" s="412"/>
      <c r="I42" s="427"/>
    </row>
    <row r="43" spans="1:9" ht="15">
      <c r="A43" s="533"/>
      <c r="B43" s="534" t="s">
        <v>282</v>
      </c>
      <c r="C43" s="536"/>
      <c r="D43" s="647">
        <f>SUM(D4:D42)</f>
        <v>47022.47000000001</v>
      </c>
      <c r="E43" s="647">
        <f>SUM(E4:E42)</f>
        <v>16953.62</v>
      </c>
      <c r="F43" s="648">
        <f>SUM(F4:F42)</f>
        <v>2265.83</v>
      </c>
      <c r="G43" s="648">
        <f>SUM(G4:G42)</f>
        <v>1281.26</v>
      </c>
      <c r="H43" s="649">
        <f>SUM(H4:H42)</f>
        <v>0</v>
      </c>
      <c r="I43" s="427"/>
    </row>
    <row r="44" spans="2:8" ht="15">
      <c r="B44" s="125"/>
      <c r="C44" s="125"/>
      <c r="D44" s="125"/>
      <c r="E44" s="125"/>
      <c r="F44" s="430"/>
      <c r="G44" s="430"/>
      <c r="H44" s="125"/>
    </row>
    <row r="45" spans="2:8" ht="15">
      <c r="B45" s="126" t="s">
        <v>97</v>
      </c>
      <c r="C45" s="126"/>
      <c r="D45" s="125"/>
      <c r="E45" s="127" t="s">
        <v>419</v>
      </c>
      <c r="F45" s="125"/>
      <c r="G45" s="431" t="s">
        <v>98</v>
      </c>
      <c r="H45" s="125"/>
    </row>
    <row r="46" spans="2:8" ht="15">
      <c r="B46" s="129"/>
      <c r="C46" s="129"/>
      <c r="D46" s="125"/>
      <c r="E46" s="127" t="s">
        <v>420</v>
      </c>
      <c r="F46" s="125"/>
      <c r="G46" s="432" t="s">
        <v>521</v>
      </c>
      <c r="H46" s="125"/>
    </row>
    <row r="47" spans="2:8" ht="15">
      <c r="B47" s="129"/>
      <c r="C47" s="129"/>
      <c r="D47" s="125"/>
      <c r="E47" s="127"/>
      <c r="F47" s="125"/>
      <c r="G47" s="432"/>
      <c r="H47" s="125"/>
    </row>
    <row r="48" spans="2:8" ht="15">
      <c r="B48" s="126" t="s">
        <v>154</v>
      </c>
      <c r="C48" s="126"/>
      <c r="D48" s="125"/>
      <c r="E48" s="127" t="s">
        <v>419</v>
      </c>
      <c r="F48" s="125"/>
      <c r="G48" s="431" t="s">
        <v>153</v>
      </c>
      <c r="H48" s="125"/>
    </row>
    <row r="49" spans="2:8" ht="15">
      <c r="B49" s="129"/>
      <c r="C49" s="129"/>
      <c r="D49" s="125"/>
      <c r="E49" s="127" t="s">
        <v>420</v>
      </c>
      <c r="F49" s="125"/>
      <c r="G49" s="432" t="s">
        <v>521</v>
      </c>
      <c r="H49" s="125"/>
    </row>
    <row r="50" spans="2:8" ht="15">
      <c r="B50" s="856" t="s">
        <v>421</v>
      </c>
      <c r="C50" s="856"/>
      <c r="D50" s="856"/>
      <c r="E50" s="856"/>
      <c r="F50" s="125"/>
      <c r="G50" s="430"/>
      <c r="H50" s="125"/>
    </row>
    <row r="51" spans="2:8" ht="15">
      <c r="B51" s="424" t="s">
        <v>522</v>
      </c>
      <c r="C51" s="131"/>
      <c r="D51" s="125" t="s">
        <v>545</v>
      </c>
      <c r="E51" s="125"/>
      <c r="F51" s="125"/>
      <c r="G51" s="430"/>
      <c r="H51" s="125"/>
    </row>
  </sheetData>
  <sheetProtection/>
  <mergeCells count="10">
    <mergeCell ref="B50:E50"/>
    <mergeCell ref="A1:I1"/>
    <mergeCell ref="D5:D6"/>
    <mergeCell ref="D7:D8"/>
    <mergeCell ref="D15:D16"/>
    <mergeCell ref="D20:D21"/>
    <mergeCell ref="A15:A16"/>
    <mergeCell ref="B15:B16"/>
    <mergeCell ref="A20:A21"/>
    <mergeCell ref="B20:B21"/>
  </mergeCells>
  <printOptions/>
  <pageMargins left="0.984251968503937" right="0.3937007874015748" top="0.4330708661417323" bottom="0.3937007874015748" header="0.4330708661417323" footer="0.7086614173228347"/>
  <pageSetup fitToHeight="1" fitToWidth="1"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J28"/>
  <sheetViews>
    <sheetView showZeros="0" view="pageBreakPreview" zoomScaleSheetLayoutView="100" zoomScalePageLayoutView="0" workbookViewId="0" topLeftCell="A1">
      <selection activeCell="E21" sqref="E21"/>
    </sheetView>
  </sheetViews>
  <sheetFormatPr defaultColWidth="9.00390625" defaultRowHeight="12.75"/>
  <cols>
    <col min="1" max="1" width="9.125" style="3" customWidth="1"/>
    <col min="2" max="2" width="46.125" style="3" customWidth="1"/>
    <col min="3" max="3" width="14.00390625" style="3" customWidth="1"/>
    <col min="4" max="4" width="12.625" style="3" customWidth="1"/>
    <col min="5" max="5" width="13.875" style="3" customWidth="1"/>
    <col min="6" max="6" width="10.125" style="3" customWidth="1"/>
    <col min="7" max="7" width="11.25390625" style="3" customWidth="1"/>
    <col min="8" max="8" width="11.00390625" style="3" customWidth="1"/>
    <col min="9" max="9" width="11.375" style="3" customWidth="1"/>
    <col min="10" max="10" width="11.25390625" style="3" customWidth="1"/>
    <col min="11" max="16384" width="9.125" style="3" customWidth="1"/>
  </cols>
  <sheetData>
    <row r="1" spans="1:10" ht="27" customHeight="1">
      <c r="A1" s="857" t="s">
        <v>283</v>
      </c>
      <c r="B1" s="857"/>
      <c r="C1" s="857"/>
      <c r="D1" s="857"/>
      <c r="E1" s="857"/>
      <c r="F1" s="857"/>
      <c r="G1" s="857"/>
      <c r="H1" s="857"/>
      <c r="I1" s="857"/>
      <c r="J1" s="857"/>
    </row>
    <row r="2" spans="1:10" ht="15.75" customHeight="1">
      <c r="A2" s="848" t="s">
        <v>457</v>
      </c>
      <c r="B2" s="848" t="s">
        <v>463</v>
      </c>
      <c r="C2" s="865" t="s">
        <v>661</v>
      </c>
      <c r="D2" s="865"/>
      <c r="E2" s="848" t="s">
        <v>371</v>
      </c>
      <c r="F2" s="848"/>
      <c r="G2" s="848"/>
      <c r="H2" s="848"/>
      <c r="I2" s="848"/>
      <c r="J2" s="848"/>
    </row>
    <row r="3" spans="1:10" ht="18.75" customHeight="1">
      <c r="A3" s="848"/>
      <c r="B3" s="848"/>
      <c r="C3" s="865"/>
      <c r="D3" s="865"/>
      <c r="E3" s="866">
        <v>2016</v>
      </c>
      <c r="F3" s="866"/>
      <c r="G3" s="514">
        <v>2017</v>
      </c>
      <c r="H3" s="514">
        <v>2018</v>
      </c>
      <c r="I3" s="514">
        <v>2019</v>
      </c>
      <c r="J3" s="514">
        <v>2020</v>
      </c>
    </row>
    <row r="4" spans="1:10" ht="15" customHeight="1">
      <c r="A4" s="848"/>
      <c r="B4" s="848"/>
      <c r="C4" s="848" t="s">
        <v>500</v>
      </c>
      <c r="D4" s="848" t="s">
        <v>460</v>
      </c>
      <c r="E4" s="848" t="s">
        <v>376</v>
      </c>
      <c r="F4" s="848"/>
      <c r="G4" s="848" t="s">
        <v>37</v>
      </c>
      <c r="H4" s="848" t="s">
        <v>37</v>
      </c>
      <c r="I4" s="848" t="s">
        <v>37</v>
      </c>
      <c r="J4" s="848" t="s">
        <v>37</v>
      </c>
    </row>
    <row r="5" spans="1:10" ht="21" customHeight="1">
      <c r="A5" s="848"/>
      <c r="B5" s="848"/>
      <c r="C5" s="848"/>
      <c r="D5" s="848"/>
      <c r="E5" s="513" t="s">
        <v>37</v>
      </c>
      <c r="F5" s="513" t="s">
        <v>460</v>
      </c>
      <c r="G5" s="848"/>
      <c r="H5" s="848"/>
      <c r="I5" s="848"/>
      <c r="J5" s="848"/>
    </row>
    <row r="6" spans="1:10" ht="15">
      <c r="A6" s="513">
        <v>1</v>
      </c>
      <c r="B6" s="513">
        <v>2</v>
      </c>
      <c r="C6" s="513">
        <v>3</v>
      </c>
      <c r="D6" s="513">
        <v>4</v>
      </c>
      <c r="E6" s="513">
        <v>5</v>
      </c>
      <c r="F6" s="513">
        <v>6</v>
      </c>
      <c r="G6" s="513">
        <v>7</v>
      </c>
      <c r="H6" s="513">
        <v>8</v>
      </c>
      <c r="I6" s="513">
        <v>9</v>
      </c>
      <c r="J6" s="513">
        <v>10</v>
      </c>
    </row>
    <row r="7" spans="1:10" ht="29.25" customHeight="1">
      <c r="A7" s="141">
        <v>1</v>
      </c>
      <c r="B7" s="141" t="s">
        <v>284</v>
      </c>
      <c r="C7" s="143">
        <f aca="true" t="shared" si="0" ref="C7:C13">SUM(E7,G7:J7)</f>
        <v>20312.860935999997</v>
      </c>
      <c r="D7" s="144">
        <f>IF(C28=0,0,C7/C28)</f>
        <v>0.5613285006287447</v>
      </c>
      <c r="E7" s="143">
        <f>SUM(E8:E12)</f>
        <v>3035.4399999999996</v>
      </c>
      <c r="F7" s="144">
        <f>IF(E28=0,0,E7/E28)</f>
        <v>0.5613285006287447</v>
      </c>
      <c r="G7" s="143">
        <f>SUM(G8:G12)</f>
        <v>3642.528</v>
      </c>
      <c r="H7" s="143">
        <f>SUM(H8:H12)</f>
        <v>4188.9072</v>
      </c>
      <c r="I7" s="143">
        <f>SUM(I8:I12)</f>
        <v>4607.79792</v>
      </c>
      <c r="J7" s="143">
        <f>SUM(J8:J12)</f>
        <v>4838.187816</v>
      </c>
    </row>
    <row r="8" spans="1:10" ht="22.5" customHeight="1">
      <c r="A8" s="163" t="s">
        <v>38</v>
      </c>
      <c r="B8" s="141" t="s">
        <v>285</v>
      </c>
      <c r="C8" s="143">
        <f t="shared" si="0"/>
        <v>16837.757266</v>
      </c>
      <c r="D8" s="144">
        <f>IF(C7=0,0,C8/C7)</f>
        <v>0.8289210130985954</v>
      </c>
      <c r="E8" s="166">
        <f>'6. Пров закупівлі'!F151</f>
        <v>2516.14</v>
      </c>
      <c r="F8" s="144">
        <f>IF(E7=0,0,E8/E7)</f>
        <v>0.8289210130985953</v>
      </c>
      <c r="G8" s="166">
        <f>E8*1.2</f>
        <v>3019.368</v>
      </c>
      <c r="H8" s="166">
        <f>G8*1.15</f>
        <v>3472.2731999999996</v>
      </c>
      <c r="I8" s="166">
        <f>H8*1.1</f>
        <v>3819.50052</v>
      </c>
      <c r="J8" s="166">
        <f>I8*1.05</f>
        <v>4010.475546</v>
      </c>
    </row>
    <row r="9" spans="1:10" ht="22.5" customHeight="1">
      <c r="A9" s="163" t="s">
        <v>39</v>
      </c>
      <c r="B9" s="141" t="s">
        <v>286</v>
      </c>
      <c r="C9" s="143">
        <f t="shared" si="0"/>
        <v>0</v>
      </c>
      <c r="D9" s="144">
        <f>IF(C8=0,0,C9/C8)</f>
        <v>0</v>
      </c>
      <c r="E9" s="166">
        <f>'6. Пров закупівлі'!F154</f>
        <v>0</v>
      </c>
      <c r="F9" s="144">
        <f>IF(E7=0,0,E9/E7)</f>
        <v>0</v>
      </c>
      <c r="G9" s="166">
        <f>E9*1.2</f>
        <v>0</v>
      </c>
      <c r="H9" s="166">
        <f>G9*1.15</f>
        <v>0</v>
      </c>
      <c r="I9" s="166">
        <f>H9*1.1</f>
        <v>0</v>
      </c>
      <c r="J9" s="166">
        <f>I9*1.05</f>
        <v>0</v>
      </c>
    </row>
    <row r="10" spans="1:10" ht="33" customHeight="1">
      <c r="A10" s="163" t="s">
        <v>401</v>
      </c>
      <c r="B10" s="141" t="s">
        <v>287</v>
      </c>
      <c r="C10" s="143">
        <f t="shared" si="0"/>
        <v>0</v>
      </c>
      <c r="D10" s="144">
        <f>IF(C9=0,0,C10/C9)</f>
        <v>0</v>
      </c>
      <c r="E10" s="166">
        <f>'6. Пров закупівлі'!F161</f>
        <v>0</v>
      </c>
      <c r="F10" s="144">
        <f>IF(E7=0,0,E10/E7)</f>
        <v>0</v>
      </c>
      <c r="G10" s="166">
        <f>E10*1.2</f>
        <v>0</v>
      </c>
      <c r="H10" s="166">
        <f>G10*1.15</f>
        <v>0</v>
      </c>
      <c r="I10" s="166">
        <f>H10*1.1</f>
        <v>0</v>
      </c>
      <c r="J10" s="166">
        <f>I10*1.05</f>
        <v>0</v>
      </c>
    </row>
    <row r="11" spans="1:10" ht="33" customHeight="1">
      <c r="A11" s="163" t="s">
        <v>402</v>
      </c>
      <c r="B11" s="141" t="s">
        <v>288</v>
      </c>
      <c r="C11" s="143">
        <f t="shared" si="0"/>
        <v>0</v>
      </c>
      <c r="D11" s="144">
        <f>IF(C10=0,0,C11/C10)</f>
        <v>0</v>
      </c>
      <c r="E11" s="166">
        <f>'6. Пров закупівлі'!F165</f>
        <v>0</v>
      </c>
      <c r="F11" s="144">
        <f>IF(E7=0,0,E11/E7)</f>
        <v>0</v>
      </c>
      <c r="G11" s="166">
        <f>E11*1.2</f>
        <v>0</v>
      </c>
      <c r="H11" s="166">
        <f>G11*1.15</f>
        <v>0</v>
      </c>
      <c r="I11" s="166">
        <f>H11*1.1</f>
        <v>0</v>
      </c>
      <c r="J11" s="166">
        <f>I11*1.05</f>
        <v>0</v>
      </c>
    </row>
    <row r="12" spans="1:10" ht="21.75" customHeight="1">
      <c r="A12" s="163" t="s">
        <v>403</v>
      </c>
      <c r="B12" s="141" t="s">
        <v>425</v>
      </c>
      <c r="C12" s="143">
        <f t="shared" si="0"/>
        <v>3475.10367</v>
      </c>
      <c r="D12" s="144">
        <f>IF(C11=0,0,C12/C11)</f>
        <v>0</v>
      </c>
      <c r="E12" s="166">
        <f>'6. Пров закупівлі'!F175</f>
        <v>519.3</v>
      </c>
      <c r="F12" s="144">
        <f>IF(E7=0,0,E12/E7)</f>
        <v>0.17107898690140474</v>
      </c>
      <c r="G12" s="166">
        <f>E12*1.2</f>
        <v>623.16</v>
      </c>
      <c r="H12" s="166">
        <f>G12*1.15</f>
        <v>716.6339999999999</v>
      </c>
      <c r="I12" s="166">
        <f>H12*1.1</f>
        <v>788.2973999999999</v>
      </c>
      <c r="J12" s="166">
        <f>I12*1.05</f>
        <v>827.71227</v>
      </c>
    </row>
    <row r="13" spans="1:10" ht="28.5" customHeight="1">
      <c r="A13" s="163" t="s">
        <v>64</v>
      </c>
      <c r="B13" s="141" t="s">
        <v>289</v>
      </c>
      <c r="C13" s="143">
        <f t="shared" si="0"/>
        <v>9182.357504</v>
      </c>
      <c r="D13" s="144">
        <f>IF(C28=0,0,C13/C28)</f>
        <v>0.25374657888897106</v>
      </c>
      <c r="E13" s="143">
        <f>SUM(E14:E16)</f>
        <v>1372.16</v>
      </c>
      <c r="F13" s="144">
        <f>IF(E28=0,0,E13/E28)</f>
        <v>0.2537465788889711</v>
      </c>
      <c r="G13" s="143">
        <f>SUM(G14:G16)</f>
        <v>1646.592</v>
      </c>
      <c r="H13" s="143">
        <f>SUM(H14:H16)</f>
        <v>1893.5808</v>
      </c>
      <c r="I13" s="143">
        <f>SUM(I14:I16)</f>
        <v>2082.93888</v>
      </c>
      <c r="J13" s="143">
        <f>SUM(J14:J16)</f>
        <v>2187.0858240000002</v>
      </c>
    </row>
    <row r="14" spans="1:10" ht="18" customHeight="1">
      <c r="A14" s="163" t="s">
        <v>42</v>
      </c>
      <c r="B14" s="141" t="s">
        <v>554</v>
      </c>
      <c r="C14" s="143">
        <f aca="true" t="shared" si="1" ref="C14:C25">SUM(E14,G14:J14)</f>
        <v>9182.357504</v>
      </c>
      <c r="D14" s="144">
        <f>IF(C13=0,0,C14/C13)</f>
        <v>1</v>
      </c>
      <c r="E14" s="166">
        <f>'6. Пров закупівлі'!F182</f>
        <v>1372.16</v>
      </c>
      <c r="F14" s="144">
        <f>IF(E13=0,0,E14/E13)</f>
        <v>1</v>
      </c>
      <c r="G14" s="166">
        <f>E14*1.2</f>
        <v>1646.592</v>
      </c>
      <c r="H14" s="166">
        <f>G14*1.15</f>
        <v>1893.5808</v>
      </c>
      <c r="I14" s="166">
        <f>H14*1.1</f>
        <v>2082.93888</v>
      </c>
      <c r="J14" s="166">
        <f>I14*1.05</f>
        <v>2187.0858240000002</v>
      </c>
    </row>
    <row r="15" spans="1:10" ht="19.5" customHeight="1">
      <c r="A15" s="163" t="s">
        <v>44</v>
      </c>
      <c r="B15" s="141" t="s">
        <v>555</v>
      </c>
      <c r="C15" s="143">
        <f t="shared" si="1"/>
        <v>0</v>
      </c>
      <c r="D15" s="144">
        <f>IF(C13=0,0,C15/C13)</f>
        <v>0</v>
      </c>
      <c r="E15" s="166"/>
      <c r="F15" s="144">
        <f>IF(E13=0,0,E15/E13)</f>
        <v>0</v>
      </c>
      <c r="G15" s="166">
        <f>E15*1.5</f>
        <v>0</v>
      </c>
      <c r="H15" s="166">
        <f>G15*1.5</f>
        <v>0</v>
      </c>
      <c r="I15" s="166">
        <f>H15*1.5</f>
        <v>0</v>
      </c>
      <c r="J15" s="166">
        <f>I15*1.5</f>
        <v>0</v>
      </c>
    </row>
    <row r="16" spans="1:10" ht="19.5" customHeight="1">
      <c r="A16" s="163" t="s">
        <v>526</v>
      </c>
      <c r="B16" s="141" t="s">
        <v>556</v>
      </c>
      <c r="C16" s="143"/>
      <c r="D16" s="144"/>
      <c r="E16" s="166"/>
      <c r="F16" s="144"/>
      <c r="G16" s="166"/>
      <c r="H16" s="166"/>
      <c r="I16" s="166"/>
      <c r="J16" s="166"/>
    </row>
    <row r="17" spans="1:10" ht="28.5" customHeight="1">
      <c r="A17" s="163" t="s">
        <v>65</v>
      </c>
      <c r="B17" s="141" t="s">
        <v>557</v>
      </c>
      <c r="C17" s="143">
        <f>SUM(E17,G17:J17)</f>
        <v>6691.900000000001</v>
      </c>
      <c r="D17" s="144">
        <f>IF(C28=0,0,C17/C28)</f>
        <v>0.1849249204822842</v>
      </c>
      <c r="E17" s="143">
        <f>SUM(E18:E25)</f>
        <v>1000</v>
      </c>
      <c r="F17" s="144">
        <f>IF(E28=0,0,E17/E28)</f>
        <v>0.1849249204822842</v>
      </c>
      <c r="G17" s="143">
        <f>SUM(G18:G25)</f>
        <v>1200</v>
      </c>
      <c r="H17" s="143">
        <f>SUM(H18:H25)</f>
        <v>1380</v>
      </c>
      <c r="I17" s="143">
        <f>SUM(I18:I25)</f>
        <v>1518.0000000000002</v>
      </c>
      <c r="J17" s="143">
        <f>SUM(J18:J25)</f>
        <v>1593.9000000000003</v>
      </c>
    </row>
    <row r="18" spans="1:10" ht="16.5" customHeight="1">
      <c r="A18" s="163" t="s">
        <v>45</v>
      </c>
      <c r="B18" s="141" t="s">
        <v>558</v>
      </c>
      <c r="C18" s="143">
        <f t="shared" si="1"/>
        <v>0</v>
      </c>
      <c r="D18" s="144">
        <f>IF(C17=0,0,C18/C17)</f>
        <v>0</v>
      </c>
      <c r="E18" s="161"/>
      <c r="F18" s="144"/>
      <c r="G18" s="161"/>
      <c r="H18" s="161"/>
      <c r="I18" s="161"/>
      <c r="J18" s="161"/>
    </row>
    <row r="19" spans="1:10" ht="16.5" customHeight="1">
      <c r="A19" s="163" t="s">
        <v>47</v>
      </c>
      <c r="B19" s="141" t="s">
        <v>559</v>
      </c>
      <c r="C19" s="143">
        <f t="shared" si="1"/>
        <v>0</v>
      </c>
      <c r="D19" s="144">
        <f>IF(C18=0,0,C19/C18)</f>
        <v>0</v>
      </c>
      <c r="E19" s="161">
        <f>'6. Пров закупівлі'!F189</f>
        <v>0</v>
      </c>
      <c r="F19" s="144">
        <f>IF(E17=0,0,E19/E17)</f>
        <v>0</v>
      </c>
      <c r="G19" s="161">
        <f>E19*1.2</f>
        <v>0</v>
      </c>
      <c r="H19" s="161">
        <f>G19*1.15</f>
        <v>0</v>
      </c>
      <c r="I19" s="161">
        <f>H19*1.1</f>
        <v>0</v>
      </c>
      <c r="J19" s="161">
        <f>I19*1.05</f>
        <v>0</v>
      </c>
    </row>
    <row r="20" spans="1:10" ht="16.5" customHeight="1">
      <c r="A20" s="163" t="s">
        <v>519</v>
      </c>
      <c r="B20" s="141" t="s">
        <v>560</v>
      </c>
      <c r="C20" s="143">
        <f t="shared" si="1"/>
        <v>0</v>
      </c>
      <c r="D20" s="144">
        <f>IF(C17=0,0,C20/C17)</f>
        <v>0</v>
      </c>
      <c r="E20" s="161">
        <v>0</v>
      </c>
      <c r="F20" s="144">
        <f>IF(E17=0,0,E20/E17)</f>
        <v>0</v>
      </c>
      <c r="G20" s="161">
        <f>E20*1.2</f>
        <v>0</v>
      </c>
      <c r="H20" s="161">
        <f>G20*1.15</f>
        <v>0</v>
      </c>
      <c r="I20" s="161">
        <f>H20*1.1</f>
        <v>0</v>
      </c>
      <c r="J20" s="161">
        <f>I20*1.05</f>
        <v>0</v>
      </c>
    </row>
    <row r="21" spans="1:10" ht="16.5" customHeight="1">
      <c r="A21" s="163" t="s">
        <v>520</v>
      </c>
      <c r="B21" s="141" t="s">
        <v>561</v>
      </c>
      <c r="C21" s="143">
        <f t="shared" si="1"/>
        <v>0</v>
      </c>
      <c r="D21" s="144">
        <f>IF(C20=0,0,C21/C20)</f>
        <v>0</v>
      </c>
      <c r="E21" s="161"/>
      <c r="F21" s="144"/>
      <c r="G21" s="161"/>
      <c r="H21" s="161"/>
      <c r="I21" s="161"/>
      <c r="J21" s="161"/>
    </row>
    <row r="22" spans="1:10" ht="17.25" customHeight="1">
      <c r="A22" s="163" t="s">
        <v>530</v>
      </c>
      <c r="B22" s="141" t="s">
        <v>541</v>
      </c>
      <c r="C22" s="143">
        <f t="shared" si="1"/>
        <v>0</v>
      </c>
      <c r="D22" s="144">
        <f>IF(C21=0,0,C22/C21)</f>
        <v>0</v>
      </c>
      <c r="E22" s="166"/>
      <c r="F22" s="144">
        <f>IF(E17=0,0,E22/E17)</f>
        <v>0</v>
      </c>
      <c r="G22" s="166"/>
      <c r="H22" s="166"/>
      <c r="I22" s="166"/>
      <c r="J22" s="166"/>
    </row>
    <row r="23" spans="1:10" ht="27.75" customHeight="1">
      <c r="A23" s="163" t="s">
        <v>531</v>
      </c>
      <c r="B23" s="141" t="s">
        <v>562</v>
      </c>
      <c r="C23" s="143">
        <f t="shared" si="1"/>
        <v>0</v>
      </c>
      <c r="D23" s="144">
        <f>IF(C17=0,0,C23/C17)</f>
        <v>0</v>
      </c>
      <c r="E23" s="166">
        <f>'6. Пров закупівлі'!F194</f>
        <v>0</v>
      </c>
      <c r="F23" s="144">
        <f>IF(E17=0,0,E23/E17)</f>
        <v>0</v>
      </c>
      <c r="G23" s="166">
        <f>E23*1.2</f>
        <v>0</v>
      </c>
      <c r="H23" s="166">
        <f>G23*1.15</f>
        <v>0</v>
      </c>
      <c r="I23" s="166">
        <f>H23*1.1</f>
        <v>0</v>
      </c>
      <c r="J23" s="166">
        <f>I23*1.05</f>
        <v>0</v>
      </c>
    </row>
    <row r="24" spans="1:10" ht="28.5" customHeight="1">
      <c r="A24" s="163" t="s">
        <v>532</v>
      </c>
      <c r="B24" s="141" t="s">
        <v>426</v>
      </c>
      <c r="C24" s="143">
        <f t="shared" si="1"/>
        <v>6691.900000000001</v>
      </c>
      <c r="D24" s="144">
        <f>IF(C17=0,0,C24/C17)</f>
        <v>1</v>
      </c>
      <c r="E24" s="166">
        <f>'6. Пров закупівлі'!F198</f>
        <v>1000</v>
      </c>
      <c r="F24" s="144">
        <f>IF(E17=0,0,E24/E17)</f>
        <v>1</v>
      </c>
      <c r="G24" s="166">
        <f>E24*1.2</f>
        <v>1200</v>
      </c>
      <c r="H24" s="166">
        <f>G24*1.15</f>
        <v>1380</v>
      </c>
      <c r="I24" s="166">
        <f>H24*1.1</f>
        <v>1518.0000000000002</v>
      </c>
      <c r="J24" s="166">
        <f>I24*1.05</f>
        <v>1593.9000000000003</v>
      </c>
    </row>
    <row r="25" spans="1:10" ht="18" customHeight="1">
      <c r="A25" s="163" t="s">
        <v>533</v>
      </c>
      <c r="B25" s="141" t="s">
        <v>563</v>
      </c>
      <c r="C25" s="143">
        <f t="shared" si="1"/>
        <v>0</v>
      </c>
      <c r="D25" s="144">
        <f>IF(C24=0,0,C25/C24)</f>
        <v>0</v>
      </c>
      <c r="E25" s="166"/>
      <c r="F25" s="144"/>
      <c r="G25" s="166"/>
      <c r="H25" s="166"/>
      <c r="I25" s="166"/>
      <c r="J25" s="166"/>
    </row>
    <row r="26" spans="1:10" ht="28.5" customHeight="1">
      <c r="A26" s="163" t="s">
        <v>66</v>
      </c>
      <c r="B26" s="141" t="s">
        <v>564</v>
      </c>
      <c r="C26" s="143"/>
      <c r="D26" s="144"/>
      <c r="E26" s="166"/>
      <c r="F26" s="209"/>
      <c r="G26" s="166"/>
      <c r="H26" s="166"/>
      <c r="I26" s="166"/>
      <c r="J26" s="166"/>
    </row>
    <row r="27" spans="1:10" ht="15">
      <c r="A27" s="163" t="s">
        <v>456</v>
      </c>
      <c r="B27" s="141" t="s">
        <v>462</v>
      </c>
      <c r="C27" s="143">
        <f>SUM(E27,G27:J27)</f>
        <v>0</v>
      </c>
      <c r="D27" s="144">
        <f>IF(C28=0,0,C27/C28)</f>
        <v>0</v>
      </c>
      <c r="E27" s="166"/>
      <c r="F27" s="144">
        <f>IF(E28=0,0,E27/E28)</f>
        <v>0</v>
      </c>
      <c r="G27" s="166">
        <f>E27*1.2</f>
        <v>0</v>
      </c>
      <c r="H27" s="166">
        <f>G27*1.15</f>
        <v>0</v>
      </c>
      <c r="I27" s="166">
        <f>H27*1.1</f>
        <v>0</v>
      </c>
      <c r="J27" s="166">
        <f>I27*1.05</f>
        <v>0</v>
      </c>
    </row>
    <row r="28" spans="1:10" ht="15">
      <c r="A28" s="141"/>
      <c r="B28" s="141" t="s">
        <v>525</v>
      </c>
      <c r="C28" s="143">
        <f>SUM(C27,C17,C13,C7)</f>
        <v>36187.11844</v>
      </c>
      <c r="D28" s="144">
        <f aca="true" t="shared" si="2" ref="D28:J28">SUM(D27,D17,D13,D7)</f>
        <v>1</v>
      </c>
      <c r="E28" s="143">
        <f>SUM(E27,E17,E13,E7)</f>
        <v>5407.599999999999</v>
      </c>
      <c r="F28" s="144">
        <f t="shared" si="2"/>
        <v>1</v>
      </c>
      <c r="G28" s="143">
        <f t="shared" si="2"/>
        <v>6489.12</v>
      </c>
      <c r="H28" s="143">
        <f t="shared" si="2"/>
        <v>7462.487999999999</v>
      </c>
      <c r="I28" s="143">
        <f t="shared" si="2"/>
        <v>8208.7368</v>
      </c>
      <c r="J28" s="143">
        <f t="shared" si="2"/>
        <v>8619.17364</v>
      </c>
    </row>
  </sheetData>
  <sheetProtection/>
  <mergeCells count="13">
    <mergeCell ref="E4:F4"/>
    <mergeCell ref="J4:J5"/>
    <mergeCell ref="I4:I5"/>
    <mergeCell ref="A1:J1"/>
    <mergeCell ref="H4:H5"/>
    <mergeCell ref="G4:G5"/>
    <mergeCell ref="A2:A5"/>
    <mergeCell ref="B2:B5"/>
    <mergeCell ref="C4:C5"/>
    <mergeCell ref="D4:D5"/>
    <mergeCell ref="C2:D3"/>
    <mergeCell ref="E2:J2"/>
    <mergeCell ref="E3:F3"/>
  </mergeCells>
  <printOptions/>
  <pageMargins left="0.9448818897637796" right="0.3937007874015748" top="0.7874015748031497" bottom="0.3937007874015748" header="0.5118110236220472" footer="0.5118110236220472"/>
  <pageSetup horizontalDpi="600" verticalDpi="600" orientation="landscape" paperSize="9" scale="84" r:id="rId1"/>
  <colBreaks count="1" manualBreakCount="1">
    <brk id="10" max="22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</sheetPr>
  <dimension ref="A1:L17"/>
  <sheetViews>
    <sheetView showZeros="0" view="pageBreakPreview" zoomScaleSheetLayoutView="100" zoomScalePageLayoutView="0" workbookViewId="0" topLeftCell="A10">
      <selection activeCell="A1" sqref="A1:L7"/>
    </sheetView>
  </sheetViews>
  <sheetFormatPr defaultColWidth="9.00390625" defaultRowHeight="12.75"/>
  <cols>
    <col min="1" max="1" width="9.125" style="3" customWidth="1"/>
    <col min="2" max="2" width="8.625" style="3" customWidth="1"/>
    <col min="3" max="3" width="25.375" style="3" customWidth="1"/>
    <col min="4" max="4" width="14.125" style="3" customWidth="1"/>
    <col min="5" max="5" width="11.875" style="3" customWidth="1"/>
    <col min="6" max="6" width="13.00390625" style="3" customWidth="1"/>
    <col min="7" max="7" width="10.00390625" style="3" customWidth="1"/>
    <col min="8" max="8" width="19.125" style="3" customWidth="1"/>
    <col min="9" max="9" width="11.625" style="3" customWidth="1"/>
    <col min="10" max="11" width="11.125" style="3" customWidth="1"/>
    <col min="12" max="12" width="10.875" style="3" customWidth="1"/>
    <col min="13" max="16384" width="9.125" style="3" customWidth="1"/>
  </cols>
  <sheetData>
    <row r="1" spans="1:12" ht="27" customHeight="1">
      <c r="A1" s="857" t="s">
        <v>565</v>
      </c>
      <c r="B1" s="857"/>
      <c r="C1" s="857"/>
      <c r="D1" s="857"/>
      <c r="E1" s="857"/>
      <c r="F1" s="857"/>
      <c r="G1" s="857"/>
      <c r="H1" s="857"/>
      <c r="I1" s="857"/>
      <c r="J1" s="857"/>
      <c r="K1" s="857"/>
      <c r="L1" s="857"/>
    </row>
    <row r="2" spans="1:12" s="1" customFormat="1" ht="15.75" customHeight="1">
      <c r="A2" s="848" t="s">
        <v>457</v>
      </c>
      <c r="B2" s="848" t="s">
        <v>463</v>
      </c>
      <c r="C2" s="848"/>
      <c r="D2" s="865" t="s">
        <v>662</v>
      </c>
      <c r="E2" s="865"/>
      <c r="F2" s="848" t="s">
        <v>371</v>
      </c>
      <c r="G2" s="848"/>
      <c r="H2" s="848"/>
      <c r="I2" s="848"/>
      <c r="J2" s="848"/>
      <c r="K2" s="848"/>
      <c r="L2" s="848"/>
    </row>
    <row r="3" spans="1:12" s="2" customFormat="1" ht="28.5" customHeight="1">
      <c r="A3" s="848"/>
      <c r="B3" s="848"/>
      <c r="C3" s="848"/>
      <c r="D3" s="865"/>
      <c r="E3" s="865"/>
      <c r="F3" s="866">
        <v>2016</v>
      </c>
      <c r="G3" s="849"/>
      <c r="H3" s="849"/>
      <c r="I3" s="512">
        <v>2017</v>
      </c>
      <c r="J3" s="512">
        <v>2018</v>
      </c>
      <c r="K3" s="512">
        <v>2019</v>
      </c>
      <c r="L3" s="512">
        <v>2020</v>
      </c>
    </row>
    <row r="4" spans="1:12" s="2" customFormat="1" ht="27" customHeight="1">
      <c r="A4" s="848"/>
      <c r="B4" s="848"/>
      <c r="C4" s="848"/>
      <c r="D4" s="848" t="s">
        <v>325</v>
      </c>
      <c r="E4" s="848" t="s">
        <v>460</v>
      </c>
      <c r="F4" s="848" t="s">
        <v>376</v>
      </c>
      <c r="G4" s="848"/>
      <c r="H4" s="848" t="s">
        <v>576</v>
      </c>
      <c r="I4" s="848" t="s">
        <v>37</v>
      </c>
      <c r="J4" s="848" t="s">
        <v>37</v>
      </c>
      <c r="K4" s="848" t="s">
        <v>37</v>
      </c>
      <c r="L4" s="848" t="s">
        <v>37</v>
      </c>
    </row>
    <row r="5" spans="1:12" s="2" customFormat="1" ht="15.75" customHeight="1" hidden="1">
      <c r="A5" s="848"/>
      <c r="B5" s="848"/>
      <c r="C5" s="848"/>
      <c r="D5" s="848"/>
      <c r="E5" s="848"/>
      <c r="F5" s="848"/>
      <c r="G5" s="848"/>
      <c r="H5" s="848"/>
      <c r="I5" s="848"/>
      <c r="J5" s="848"/>
      <c r="K5" s="848"/>
      <c r="L5" s="848"/>
    </row>
    <row r="6" spans="1:12" s="1" customFormat="1" ht="24" customHeight="1">
      <c r="A6" s="848"/>
      <c r="B6" s="848"/>
      <c r="C6" s="848"/>
      <c r="D6" s="848"/>
      <c r="E6" s="848"/>
      <c r="F6" s="513" t="s">
        <v>37</v>
      </c>
      <c r="G6" s="513" t="s">
        <v>460</v>
      </c>
      <c r="H6" s="848"/>
      <c r="I6" s="848"/>
      <c r="J6" s="848"/>
      <c r="K6" s="848"/>
      <c r="L6" s="848"/>
    </row>
    <row r="7" spans="1:12" s="1" customFormat="1" ht="14.25" customHeight="1">
      <c r="A7" s="513">
        <v>1</v>
      </c>
      <c r="B7" s="848">
        <v>2</v>
      </c>
      <c r="C7" s="848"/>
      <c r="D7" s="513">
        <v>3</v>
      </c>
      <c r="E7" s="513">
        <v>4</v>
      </c>
      <c r="F7" s="513">
        <v>5</v>
      </c>
      <c r="G7" s="513">
        <v>6</v>
      </c>
      <c r="H7" s="513">
        <v>7</v>
      </c>
      <c r="I7" s="513">
        <v>8</v>
      </c>
      <c r="J7" s="513">
        <v>9</v>
      </c>
      <c r="K7" s="513">
        <v>10</v>
      </c>
      <c r="L7" s="513">
        <v>11</v>
      </c>
    </row>
    <row r="8" spans="1:12" ht="25.5" customHeight="1">
      <c r="A8" s="141">
        <v>1</v>
      </c>
      <c r="B8" s="862" t="s">
        <v>490</v>
      </c>
      <c r="C8" s="862"/>
      <c r="D8" s="143">
        <f>SUM(F8,I8:L8)</f>
        <v>3680.545</v>
      </c>
      <c r="E8" s="144">
        <f>IF(D15=0,0,D8/D15)</f>
        <v>1</v>
      </c>
      <c r="F8" s="143">
        <f>SUM(F9:F12)</f>
        <v>550</v>
      </c>
      <c r="G8" s="144">
        <f>IF(F15=0,0,F8/F15)</f>
        <v>1</v>
      </c>
      <c r="H8" s="164"/>
      <c r="I8" s="143">
        <f>SUM(I9:I12)</f>
        <v>660</v>
      </c>
      <c r="J8" s="143">
        <f>SUM(J9:J12)</f>
        <v>758.9999999999999</v>
      </c>
      <c r="K8" s="143">
        <f>SUM(K9:K12)</f>
        <v>834.9</v>
      </c>
      <c r="L8" s="143">
        <f>SUM(L9:L12)</f>
        <v>876.645</v>
      </c>
    </row>
    <row r="9" spans="1:12" ht="30.75" customHeight="1">
      <c r="A9" s="163" t="s">
        <v>38</v>
      </c>
      <c r="B9" s="862" t="s">
        <v>566</v>
      </c>
      <c r="C9" s="862"/>
      <c r="D9" s="143">
        <f aca="true" t="shared" si="0" ref="D9:D14">SUM(F9,I9:L9)</f>
        <v>0</v>
      </c>
      <c r="E9" s="144">
        <f>IF(D8=0,0,D9/D8)</f>
        <v>0</v>
      </c>
      <c r="F9" s="166">
        <f>'6. Пров закупівлі'!F204</f>
        <v>0</v>
      </c>
      <c r="G9" s="144">
        <f>IF(F8=0,0,F9/F8)</f>
        <v>0</v>
      </c>
      <c r="H9" s="164"/>
      <c r="I9" s="166">
        <f>F9*1.2</f>
        <v>0</v>
      </c>
      <c r="J9" s="166">
        <f>I9*1.15</f>
        <v>0</v>
      </c>
      <c r="K9" s="166">
        <f>J9*1.1</f>
        <v>0</v>
      </c>
      <c r="L9" s="166">
        <f>K9*1.05</f>
        <v>0</v>
      </c>
    </row>
    <row r="10" spans="1:12" ht="33" customHeight="1">
      <c r="A10" s="163" t="s">
        <v>39</v>
      </c>
      <c r="B10" s="862" t="s">
        <v>567</v>
      </c>
      <c r="C10" s="862"/>
      <c r="D10" s="143">
        <f t="shared" si="0"/>
        <v>3680.545</v>
      </c>
      <c r="E10" s="144">
        <f>IF(D8=0,0,D10/D8)</f>
        <v>1</v>
      </c>
      <c r="F10" s="166">
        <f>'6. Пров закупівлі'!F207</f>
        <v>550</v>
      </c>
      <c r="G10" s="144">
        <f>IF(F8=0,0,F10/F8)</f>
        <v>1</v>
      </c>
      <c r="H10" s="164"/>
      <c r="I10" s="166">
        <f>F10*1.2</f>
        <v>660</v>
      </c>
      <c r="J10" s="166">
        <f>I10*1.15</f>
        <v>758.9999999999999</v>
      </c>
      <c r="K10" s="166">
        <f>J10*1.1</f>
        <v>834.9</v>
      </c>
      <c r="L10" s="166">
        <f>K10*1.05</f>
        <v>876.645</v>
      </c>
    </row>
    <row r="11" spans="1:12" ht="46.5" customHeight="1">
      <c r="A11" s="163" t="s">
        <v>401</v>
      </c>
      <c r="B11" s="862" t="s">
        <v>568</v>
      </c>
      <c r="C11" s="862"/>
      <c r="D11" s="143">
        <f t="shared" si="0"/>
        <v>0</v>
      </c>
      <c r="E11" s="144">
        <f>IF(D8=0,0,D11/D8)</f>
        <v>0</v>
      </c>
      <c r="F11" s="166">
        <f>'6. Пров закупівлі'!F210</f>
        <v>0</v>
      </c>
      <c r="G11" s="144">
        <f>IF(F8=0,0,F11/F8)</f>
        <v>0</v>
      </c>
      <c r="H11" s="164"/>
      <c r="I11" s="166">
        <f>F11*1.2</f>
        <v>0</v>
      </c>
      <c r="J11" s="166">
        <f>I11*1.15</f>
        <v>0</v>
      </c>
      <c r="K11" s="166">
        <f>J11*1.1</f>
        <v>0</v>
      </c>
      <c r="L11" s="166">
        <f>K11*1.05</f>
        <v>0</v>
      </c>
    </row>
    <row r="12" spans="1:12" ht="28.5" customHeight="1">
      <c r="A12" s="163" t="s">
        <v>402</v>
      </c>
      <c r="B12" s="862" t="s">
        <v>569</v>
      </c>
      <c r="C12" s="862"/>
      <c r="D12" s="143">
        <f t="shared" si="0"/>
        <v>0</v>
      </c>
      <c r="E12" s="144">
        <f>IF(D8=0,0,D12/D8)</f>
        <v>0</v>
      </c>
      <c r="F12" s="166"/>
      <c r="G12" s="144">
        <f>IF(F8=0,0,F12/F8)</f>
        <v>0</v>
      </c>
      <c r="H12" s="164"/>
      <c r="I12" s="166"/>
      <c r="J12" s="166"/>
      <c r="K12" s="166"/>
      <c r="L12" s="166"/>
    </row>
    <row r="13" spans="1:12" ht="32.25" customHeight="1">
      <c r="A13" s="163" t="s">
        <v>64</v>
      </c>
      <c r="B13" s="862" t="s">
        <v>469</v>
      </c>
      <c r="C13" s="862"/>
      <c r="D13" s="143">
        <f t="shared" si="0"/>
        <v>0</v>
      </c>
      <c r="E13" s="144">
        <f>IF(D15=0,0,D13/D15)</f>
        <v>0</v>
      </c>
      <c r="F13" s="166">
        <f>'6. Пров закупівлі'!F219</f>
        <v>0</v>
      </c>
      <c r="G13" s="144">
        <f>IF(F15=0,0,F13/F15)</f>
        <v>0</v>
      </c>
      <c r="H13" s="164"/>
      <c r="I13" s="166">
        <f>F13*1.2</f>
        <v>0</v>
      </c>
      <c r="J13" s="166">
        <f>I13*1.15</f>
        <v>0</v>
      </c>
      <c r="K13" s="166">
        <f>J13*1.1</f>
        <v>0</v>
      </c>
      <c r="L13" s="166">
        <f>K13*1.05</f>
        <v>0</v>
      </c>
    </row>
    <row r="14" spans="1:12" ht="16.5" customHeight="1">
      <c r="A14" s="163" t="s">
        <v>65</v>
      </c>
      <c r="B14" s="862" t="s">
        <v>462</v>
      </c>
      <c r="C14" s="862"/>
      <c r="D14" s="143">
        <f t="shared" si="0"/>
        <v>0</v>
      </c>
      <c r="E14" s="144">
        <f>IF(D15=0,0,D14/D15)</f>
        <v>0</v>
      </c>
      <c r="F14" s="166">
        <f>'6. Пров закупівлі'!F225</f>
        <v>0</v>
      </c>
      <c r="G14" s="144">
        <f>IF(F15=0,0,F14/F15)</f>
        <v>0</v>
      </c>
      <c r="H14" s="164"/>
      <c r="I14" s="166">
        <f>F14*1.2</f>
        <v>0</v>
      </c>
      <c r="J14" s="166">
        <f>I14*1.15</f>
        <v>0</v>
      </c>
      <c r="K14" s="166">
        <f>J14*1.1</f>
        <v>0</v>
      </c>
      <c r="L14" s="166">
        <f>K14*1.05</f>
        <v>0</v>
      </c>
    </row>
    <row r="15" spans="1:12" ht="18.75" customHeight="1">
      <c r="A15" s="165"/>
      <c r="B15" s="850" t="s">
        <v>525</v>
      </c>
      <c r="C15" s="850"/>
      <c r="D15" s="134">
        <f>SUM(D8,D13,D14)</f>
        <v>3680.545</v>
      </c>
      <c r="E15" s="210">
        <f>SUM(E8,E13,E14)</f>
        <v>1</v>
      </c>
      <c r="F15" s="134">
        <f>SUM(F8,F13,F14)</f>
        <v>550</v>
      </c>
      <c r="G15" s="210">
        <f>SUM(G8,G13,G14)</f>
        <v>1</v>
      </c>
      <c r="H15" s="164"/>
      <c r="I15" s="134">
        <f>SUM(I8,I13,I14)</f>
        <v>660</v>
      </c>
      <c r="J15" s="134">
        <f>SUM(J8,J13,J14)</f>
        <v>758.9999999999999</v>
      </c>
      <c r="K15" s="134">
        <f>SUM(K8,K13,K14)</f>
        <v>834.9</v>
      </c>
      <c r="L15" s="134">
        <f>SUM(L8,L13,L14)</f>
        <v>876.645</v>
      </c>
    </row>
    <row r="16" spans="4:5" ht="12.75">
      <c r="D16" s="9"/>
      <c r="E16" s="9"/>
    </row>
    <row r="17" spans="4:5" ht="12.75">
      <c r="D17" s="9"/>
      <c r="E17" s="9"/>
    </row>
  </sheetData>
  <sheetProtection/>
  <mergeCells count="23">
    <mergeCell ref="B10:C10"/>
    <mergeCell ref="A2:A6"/>
    <mergeCell ref="B2:C6"/>
    <mergeCell ref="D2:E3"/>
    <mergeCell ref="D4:D6"/>
    <mergeCell ref="E4:E6"/>
    <mergeCell ref="B7:C7"/>
    <mergeCell ref="L4:L6"/>
    <mergeCell ref="F2:L2"/>
    <mergeCell ref="F3:H3"/>
    <mergeCell ref="F4:G5"/>
    <mergeCell ref="I4:I6"/>
    <mergeCell ref="H4:H6"/>
    <mergeCell ref="A1:L1"/>
    <mergeCell ref="B15:C15"/>
    <mergeCell ref="B11:C11"/>
    <mergeCell ref="B12:C12"/>
    <mergeCell ref="B13:C13"/>
    <mergeCell ref="B14:C14"/>
    <mergeCell ref="B8:C8"/>
    <mergeCell ref="B9:C9"/>
    <mergeCell ref="J4:J6"/>
    <mergeCell ref="K4:K6"/>
  </mergeCells>
  <printOptions/>
  <pageMargins left="0.984251968503937" right="0.3937007874015748" top="0.7874015748031497" bottom="0.984251968503937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78"/>
  <sheetViews>
    <sheetView view="pageBreakPreview" zoomScaleSheetLayoutView="100" zoomScalePageLayoutView="0" workbookViewId="0" topLeftCell="A1">
      <selection activeCell="B63" sqref="B63:G69"/>
    </sheetView>
  </sheetViews>
  <sheetFormatPr defaultColWidth="9.00390625" defaultRowHeight="12.75" outlineLevelRow="1"/>
  <cols>
    <col min="1" max="1" width="6.00390625" style="400" customWidth="1"/>
    <col min="2" max="2" width="28.875" style="399" customWidth="1"/>
    <col min="3" max="3" width="11.75390625" style="399" customWidth="1"/>
    <col min="4" max="4" width="21.625" style="399" customWidth="1"/>
    <col min="5" max="5" width="25.00390625" style="399" customWidth="1"/>
    <col min="6" max="6" width="25.25390625" style="399" customWidth="1"/>
    <col min="7" max="7" width="26.00390625" style="37" customWidth="1"/>
    <col min="8" max="8" width="24.875" style="399" customWidth="1"/>
    <col min="9" max="9" width="17.625" style="399" customWidth="1"/>
    <col min="10" max="16384" width="9.125" style="399" customWidth="1"/>
  </cols>
  <sheetData>
    <row r="1" spans="1:9" ht="30.75" customHeight="1">
      <c r="A1" s="891" t="s">
        <v>577</v>
      </c>
      <c r="B1" s="892"/>
      <c r="C1" s="892"/>
      <c r="D1" s="892"/>
      <c r="E1" s="892"/>
      <c r="F1" s="892"/>
      <c r="G1" s="892"/>
      <c r="H1" s="892"/>
      <c r="I1" s="893"/>
    </row>
    <row r="2" spans="1:9" ht="105.75" customHeight="1">
      <c r="A2" s="426" t="s">
        <v>448</v>
      </c>
      <c r="B2" s="420" t="s">
        <v>280</v>
      </c>
      <c r="C2" s="420" t="s">
        <v>281</v>
      </c>
      <c r="D2" s="420" t="s">
        <v>501</v>
      </c>
      <c r="E2" s="420" t="s">
        <v>328</v>
      </c>
      <c r="F2" s="420" t="s">
        <v>502</v>
      </c>
      <c r="G2" s="420" t="s">
        <v>503</v>
      </c>
      <c r="H2" s="420" t="s">
        <v>504</v>
      </c>
      <c r="I2" s="433" t="s">
        <v>540</v>
      </c>
    </row>
    <row r="3" spans="1:9" s="402" customFormat="1" ht="15">
      <c r="A3" s="434">
        <v>1</v>
      </c>
      <c r="B3" s="435">
        <v>2</v>
      </c>
      <c r="C3" s="435">
        <v>3</v>
      </c>
      <c r="D3" s="435">
        <v>4</v>
      </c>
      <c r="E3" s="435">
        <v>5</v>
      </c>
      <c r="F3" s="435">
        <v>6</v>
      </c>
      <c r="G3" s="435">
        <v>7</v>
      </c>
      <c r="H3" s="434" t="s">
        <v>68</v>
      </c>
      <c r="I3" s="436">
        <v>9</v>
      </c>
    </row>
    <row r="4" spans="1:9" ht="14.25" customHeight="1">
      <c r="A4" s="437">
        <v>1</v>
      </c>
      <c r="B4" s="894" t="s">
        <v>570</v>
      </c>
      <c r="C4" s="894"/>
      <c r="D4" s="894"/>
      <c r="E4" s="894"/>
      <c r="F4" s="894"/>
      <c r="G4" s="894"/>
      <c r="H4" s="894"/>
      <c r="I4" s="438"/>
    </row>
    <row r="5" spans="1:9" ht="59.25" customHeight="1">
      <c r="A5" s="437" t="s">
        <v>38</v>
      </c>
      <c r="B5" s="439" t="s">
        <v>293</v>
      </c>
      <c r="C5" s="440" t="s">
        <v>294</v>
      </c>
      <c r="D5" s="441">
        <v>2263.3333333333335</v>
      </c>
      <c r="E5" s="441">
        <v>1669.1916666666666</v>
      </c>
      <c r="F5" s="442"/>
      <c r="G5" s="443"/>
      <c r="H5" s="442"/>
      <c r="I5" s="438"/>
    </row>
    <row r="6" spans="1:9" ht="30.75" customHeight="1">
      <c r="A6" s="437" t="s">
        <v>39</v>
      </c>
      <c r="B6" s="439" t="s">
        <v>295</v>
      </c>
      <c r="C6" s="440">
        <v>2006</v>
      </c>
      <c r="D6" s="441">
        <v>1388.3333333333335</v>
      </c>
      <c r="E6" s="441">
        <v>1339.75</v>
      </c>
      <c r="F6" s="442"/>
      <c r="G6" s="443"/>
      <c r="H6" s="442"/>
      <c r="I6" s="438"/>
    </row>
    <row r="7" spans="1:9" ht="28.5" customHeight="1">
      <c r="A7" s="437" t="s">
        <v>401</v>
      </c>
      <c r="B7" s="439" t="s">
        <v>296</v>
      </c>
      <c r="C7" s="440">
        <v>2008</v>
      </c>
      <c r="D7" s="441">
        <v>1742.5</v>
      </c>
      <c r="E7" s="441">
        <v>1929.6483333333333</v>
      </c>
      <c r="F7" s="442"/>
      <c r="G7" s="443"/>
      <c r="H7" s="442"/>
      <c r="I7" s="438"/>
    </row>
    <row r="8" spans="1:9" ht="30" customHeight="1">
      <c r="A8" s="437" t="s">
        <v>402</v>
      </c>
      <c r="B8" s="439" t="s">
        <v>297</v>
      </c>
      <c r="C8" s="440">
        <v>2009</v>
      </c>
      <c r="D8" s="441">
        <v>1388.3333333333335</v>
      </c>
      <c r="E8" s="441">
        <v>2365</v>
      </c>
      <c r="F8" s="442"/>
      <c r="G8" s="443"/>
      <c r="H8" s="442"/>
      <c r="I8" s="438"/>
    </row>
    <row r="9" spans="1:9" ht="32.25" customHeight="1">
      <c r="A9" s="437" t="s">
        <v>403</v>
      </c>
      <c r="B9" s="439" t="s">
        <v>298</v>
      </c>
      <c r="C9" s="440">
        <v>2010</v>
      </c>
      <c r="D9" s="441">
        <v>694.1666666666667</v>
      </c>
      <c r="E9" s="441">
        <v>1182.5</v>
      </c>
      <c r="F9" s="441"/>
      <c r="G9" s="443"/>
      <c r="H9" s="442"/>
      <c r="I9" s="438"/>
    </row>
    <row r="10" spans="1:9" ht="45.75" customHeight="1">
      <c r="A10" s="437" t="s">
        <v>404</v>
      </c>
      <c r="B10" s="444" t="s">
        <v>299</v>
      </c>
      <c r="C10" s="440">
        <v>2012</v>
      </c>
      <c r="D10" s="441">
        <v>4215.833333333334</v>
      </c>
      <c r="E10" s="441">
        <v>3254.166666666667</v>
      </c>
      <c r="F10" s="441"/>
      <c r="G10" s="445"/>
      <c r="H10" s="442"/>
      <c r="I10" s="438"/>
    </row>
    <row r="11" spans="1:9" ht="32.25" customHeight="1">
      <c r="A11" s="437" t="s">
        <v>405</v>
      </c>
      <c r="B11" s="439" t="s">
        <v>300</v>
      </c>
      <c r="C11" s="440">
        <v>2013</v>
      </c>
      <c r="D11" s="441">
        <v>1735.1833333333332</v>
      </c>
      <c r="E11" s="446">
        <v>1735.1833333333332</v>
      </c>
      <c r="F11" s="446"/>
      <c r="G11" s="446"/>
      <c r="H11" s="446"/>
      <c r="I11" s="438"/>
    </row>
    <row r="12" spans="1:9" ht="32.25" customHeight="1">
      <c r="A12" s="437" t="s">
        <v>406</v>
      </c>
      <c r="B12" s="439" t="s">
        <v>510</v>
      </c>
      <c r="C12" s="440">
        <v>2017</v>
      </c>
      <c r="D12" s="446">
        <v>2062.2</v>
      </c>
      <c r="E12" s="446"/>
      <c r="F12" s="443"/>
      <c r="G12" s="446"/>
      <c r="H12" s="446">
        <v>2062.2</v>
      </c>
      <c r="I12" s="438"/>
    </row>
    <row r="13" spans="1:9" ht="33" customHeight="1">
      <c r="A13" s="437" t="s">
        <v>407</v>
      </c>
      <c r="B13" s="447" t="s">
        <v>511</v>
      </c>
      <c r="C13" s="440">
        <v>2018</v>
      </c>
      <c r="D13" s="441">
        <v>3768.5</v>
      </c>
      <c r="E13" s="446"/>
      <c r="F13" s="443"/>
      <c r="G13" s="443"/>
      <c r="H13" s="446">
        <f>1959.88333333333+1808.62</f>
        <v>3768.50333333333</v>
      </c>
      <c r="I13" s="438"/>
    </row>
    <row r="14" spans="1:9" ht="45.75" customHeight="1">
      <c r="A14" s="437" t="s">
        <v>408</v>
      </c>
      <c r="B14" s="439" t="s">
        <v>301</v>
      </c>
      <c r="C14" s="440">
        <v>2019</v>
      </c>
      <c r="D14" s="441">
        <v>2976.666666666667</v>
      </c>
      <c r="E14" s="441"/>
      <c r="F14" s="442"/>
      <c r="G14" s="443"/>
      <c r="H14" s="441">
        <v>2976.666666666667</v>
      </c>
      <c r="I14" s="438"/>
    </row>
    <row r="15" spans="1:9" ht="48" customHeight="1">
      <c r="A15" s="437" t="s">
        <v>409</v>
      </c>
      <c r="B15" s="439" t="s">
        <v>302</v>
      </c>
      <c r="C15" s="440">
        <v>2020</v>
      </c>
      <c r="D15" s="441">
        <v>3251.666666666667</v>
      </c>
      <c r="E15" s="441"/>
      <c r="F15" s="442"/>
      <c r="G15" s="443"/>
      <c r="H15" s="441">
        <v>3251.666666666667</v>
      </c>
      <c r="I15" s="438"/>
    </row>
    <row r="16" spans="1:9" ht="44.25" customHeight="1">
      <c r="A16" s="437" t="s">
        <v>410</v>
      </c>
      <c r="B16" s="447" t="s">
        <v>303</v>
      </c>
      <c r="C16" s="440">
        <v>2021</v>
      </c>
      <c r="D16" s="446">
        <v>1099.1666666666667</v>
      </c>
      <c r="E16" s="446"/>
      <c r="F16" s="446"/>
      <c r="G16" s="446"/>
      <c r="H16" s="446">
        <v>1099.1666666666667</v>
      </c>
      <c r="I16" s="438"/>
    </row>
    <row r="17" spans="1:9" ht="15" customHeight="1">
      <c r="A17" s="448">
        <v>2</v>
      </c>
      <c r="B17" s="894" t="s">
        <v>571</v>
      </c>
      <c r="C17" s="894"/>
      <c r="D17" s="894"/>
      <c r="E17" s="894"/>
      <c r="F17" s="894"/>
      <c r="G17" s="894"/>
      <c r="H17" s="894"/>
      <c r="I17" s="438"/>
    </row>
    <row r="18" spans="1:9" ht="15" customHeight="1">
      <c r="A18" s="449" t="s">
        <v>42</v>
      </c>
      <c r="B18" s="651" t="s">
        <v>106</v>
      </c>
      <c r="C18" s="652">
        <v>2004</v>
      </c>
      <c r="D18" s="653">
        <v>24.63</v>
      </c>
      <c r="E18" s="654">
        <v>24.63</v>
      </c>
      <c r="F18" s="451"/>
      <c r="G18" s="452"/>
      <c r="H18" s="452"/>
      <c r="I18" s="453"/>
    </row>
    <row r="19" spans="1:9" ht="15" customHeight="1">
      <c r="A19" s="449" t="s">
        <v>44</v>
      </c>
      <c r="B19" s="651" t="s">
        <v>107</v>
      </c>
      <c r="C19" s="652">
        <v>2005</v>
      </c>
      <c r="D19" s="654">
        <v>180.25</v>
      </c>
      <c r="E19" s="654">
        <v>238.89</v>
      </c>
      <c r="F19" s="451"/>
      <c r="G19" s="452"/>
      <c r="H19" s="452"/>
      <c r="I19" s="453"/>
    </row>
    <row r="20" spans="1:9" ht="15" customHeight="1">
      <c r="A20" s="449" t="s">
        <v>526</v>
      </c>
      <c r="B20" s="651" t="s">
        <v>109</v>
      </c>
      <c r="C20" s="652">
        <v>2006</v>
      </c>
      <c r="D20" s="654">
        <v>257.53</v>
      </c>
      <c r="E20" s="654">
        <v>330.59</v>
      </c>
      <c r="F20" s="451"/>
      <c r="G20" s="452"/>
      <c r="H20" s="452"/>
      <c r="I20" s="453"/>
    </row>
    <row r="21" spans="1:9" ht="15" customHeight="1">
      <c r="A21" s="449" t="s">
        <v>396</v>
      </c>
      <c r="B21" s="651" t="s">
        <v>108</v>
      </c>
      <c r="C21" s="652">
        <v>2006</v>
      </c>
      <c r="D21" s="654">
        <v>218.4</v>
      </c>
      <c r="E21" s="654">
        <v>218.33</v>
      </c>
      <c r="F21" s="451"/>
      <c r="G21" s="452"/>
      <c r="H21" s="452"/>
      <c r="I21" s="453"/>
    </row>
    <row r="22" spans="1:9" ht="15" customHeight="1">
      <c r="A22" s="449" t="s">
        <v>397</v>
      </c>
      <c r="B22" s="651" t="s">
        <v>110</v>
      </c>
      <c r="C22" s="652">
        <v>2007</v>
      </c>
      <c r="D22" s="653">
        <v>211.09</v>
      </c>
      <c r="E22" s="654">
        <v>222.23</v>
      </c>
      <c r="F22" s="451"/>
      <c r="G22" s="452"/>
      <c r="H22" s="452"/>
      <c r="I22" s="453"/>
    </row>
    <row r="23" spans="1:9" ht="15" customHeight="1">
      <c r="A23" s="449" t="s">
        <v>537</v>
      </c>
      <c r="B23" s="651" t="s">
        <v>111</v>
      </c>
      <c r="C23" s="652">
        <v>2007</v>
      </c>
      <c r="D23" s="653">
        <v>107.56</v>
      </c>
      <c r="E23" s="654">
        <v>88.02</v>
      </c>
      <c r="F23" s="451"/>
      <c r="G23" s="452"/>
      <c r="H23" s="452"/>
      <c r="I23" s="453"/>
    </row>
    <row r="24" spans="1:9" ht="15" customHeight="1">
      <c r="A24" s="449" t="s">
        <v>539</v>
      </c>
      <c r="B24" s="651" t="s">
        <v>112</v>
      </c>
      <c r="C24" s="652">
        <v>2008</v>
      </c>
      <c r="D24" s="653">
        <v>248.58</v>
      </c>
      <c r="E24" s="654">
        <v>190.33</v>
      </c>
      <c r="F24" s="451"/>
      <c r="G24" s="452"/>
      <c r="H24" s="452"/>
      <c r="I24" s="453"/>
    </row>
    <row r="25" spans="1:9" ht="15" customHeight="1">
      <c r="A25" s="449" t="s">
        <v>523</v>
      </c>
      <c r="B25" s="651" t="s">
        <v>111</v>
      </c>
      <c r="C25" s="652">
        <v>2008</v>
      </c>
      <c r="D25" s="653">
        <v>119.36</v>
      </c>
      <c r="E25" s="654">
        <v>95.17</v>
      </c>
      <c r="F25" s="451"/>
      <c r="G25" s="452"/>
      <c r="H25" s="452"/>
      <c r="I25" s="453"/>
    </row>
    <row r="26" spans="1:9" ht="15" customHeight="1">
      <c r="A26" s="449" t="s">
        <v>524</v>
      </c>
      <c r="B26" s="655" t="s">
        <v>114</v>
      </c>
      <c r="C26" s="656">
        <v>2010</v>
      </c>
      <c r="D26" s="653">
        <v>369.97</v>
      </c>
      <c r="E26" s="657">
        <v>399.02</v>
      </c>
      <c r="F26" s="451"/>
      <c r="G26" s="452"/>
      <c r="H26" s="452"/>
      <c r="I26" s="453"/>
    </row>
    <row r="27" spans="1:9" ht="15" customHeight="1">
      <c r="A27" s="449" t="s">
        <v>144</v>
      </c>
      <c r="B27" s="655" t="s">
        <v>115</v>
      </c>
      <c r="C27" s="656">
        <v>2010</v>
      </c>
      <c r="D27" s="653">
        <v>484.71</v>
      </c>
      <c r="E27" s="658">
        <v>304.2</v>
      </c>
      <c r="F27" s="451"/>
      <c r="G27" s="452"/>
      <c r="H27" s="452"/>
      <c r="I27" s="453"/>
    </row>
    <row r="28" spans="1:9" ht="15" customHeight="1">
      <c r="A28" s="449" t="s">
        <v>145</v>
      </c>
      <c r="B28" s="659" t="s">
        <v>117</v>
      </c>
      <c r="C28" s="656">
        <v>2012</v>
      </c>
      <c r="D28" s="653">
        <v>325.96</v>
      </c>
      <c r="E28" s="660">
        <v>212.48</v>
      </c>
      <c r="F28" s="452"/>
      <c r="G28" s="455"/>
      <c r="H28" s="454"/>
      <c r="I28" s="453"/>
    </row>
    <row r="29" spans="1:9" ht="15" customHeight="1">
      <c r="A29" s="449" t="s">
        <v>146</v>
      </c>
      <c r="B29" s="661" t="s">
        <v>122</v>
      </c>
      <c r="C29" s="656">
        <v>2012</v>
      </c>
      <c r="D29" s="653">
        <v>34.45</v>
      </c>
      <c r="E29" s="660">
        <v>49.43</v>
      </c>
      <c r="F29" s="452"/>
      <c r="G29" s="456"/>
      <c r="H29" s="457"/>
      <c r="I29" s="453"/>
    </row>
    <row r="30" spans="1:9" ht="15" customHeight="1">
      <c r="A30" s="449" t="s">
        <v>147</v>
      </c>
      <c r="B30" s="661" t="s">
        <v>513</v>
      </c>
      <c r="C30" s="656">
        <v>2012</v>
      </c>
      <c r="D30" s="653">
        <v>275.08</v>
      </c>
      <c r="E30" s="662">
        <v>210.43</v>
      </c>
      <c r="F30" s="458"/>
      <c r="G30" s="458"/>
      <c r="H30" s="458"/>
      <c r="I30" s="453"/>
    </row>
    <row r="31" spans="1:9" ht="15" customHeight="1">
      <c r="A31" s="449" t="s">
        <v>148</v>
      </c>
      <c r="B31" s="661" t="s">
        <v>124</v>
      </c>
      <c r="C31" s="656">
        <v>2012</v>
      </c>
      <c r="D31" s="653">
        <v>734.66</v>
      </c>
      <c r="E31" s="662">
        <v>537.43</v>
      </c>
      <c r="F31" s="458"/>
      <c r="G31" s="458"/>
      <c r="H31" s="458"/>
      <c r="I31" s="453"/>
    </row>
    <row r="32" spans="1:9" ht="15" customHeight="1">
      <c r="A32" s="449" t="s">
        <v>710</v>
      </c>
      <c r="B32" s="661" t="s">
        <v>126</v>
      </c>
      <c r="C32" s="656">
        <v>2012</v>
      </c>
      <c r="D32" s="653">
        <v>423.23</v>
      </c>
      <c r="E32" s="660">
        <v>257.72</v>
      </c>
      <c r="F32" s="452"/>
      <c r="G32" s="452"/>
      <c r="H32" s="452"/>
      <c r="I32" s="453"/>
    </row>
    <row r="33" spans="1:9" ht="15" customHeight="1">
      <c r="A33" s="449" t="s">
        <v>149</v>
      </c>
      <c r="B33" s="661" t="s">
        <v>739</v>
      </c>
      <c r="C33" s="656">
        <v>2013</v>
      </c>
      <c r="D33" s="660">
        <v>362.11</v>
      </c>
      <c r="E33" s="660">
        <v>380.03</v>
      </c>
      <c r="F33" s="452"/>
      <c r="G33" s="452"/>
      <c r="H33" s="457"/>
      <c r="I33" s="453"/>
    </row>
    <row r="34" spans="1:9" ht="15" customHeight="1">
      <c r="A34" s="663" t="s">
        <v>745</v>
      </c>
      <c r="B34" s="661" t="s">
        <v>741</v>
      </c>
      <c r="C34" s="656">
        <v>2015</v>
      </c>
      <c r="D34" s="658">
        <v>271.58</v>
      </c>
      <c r="E34" s="658"/>
      <c r="F34" s="660">
        <v>378.51</v>
      </c>
      <c r="G34" s="644"/>
      <c r="H34" s="457"/>
      <c r="I34" s="453"/>
    </row>
    <row r="35" spans="1:9" ht="15" customHeight="1">
      <c r="A35" s="449" t="s">
        <v>150</v>
      </c>
      <c r="B35" s="661" t="s">
        <v>119</v>
      </c>
      <c r="C35" s="656">
        <v>2015</v>
      </c>
      <c r="D35" s="660">
        <v>71.07</v>
      </c>
      <c r="E35" s="662"/>
      <c r="F35" s="660">
        <v>126.19</v>
      </c>
      <c r="G35" s="645"/>
      <c r="H35" s="457"/>
      <c r="I35" s="453"/>
    </row>
    <row r="36" spans="1:9" ht="15" customHeight="1">
      <c r="A36" s="449" t="s">
        <v>746</v>
      </c>
      <c r="B36" s="661" t="s">
        <v>741</v>
      </c>
      <c r="C36" s="656">
        <v>2016</v>
      </c>
      <c r="D36" s="660">
        <v>840.16</v>
      </c>
      <c r="E36" s="662"/>
      <c r="F36" s="660"/>
      <c r="G36" s="664">
        <v>840.16</v>
      </c>
      <c r="H36" s="457"/>
      <c r="I36" s="450"/>
    </row>
    <row r="37" spans="1:9" ht="15" customHeight="1">
      <c r="A37" s="449" t="s">
        <v>747</v>
      </c>
      <c r="B37" s="661" t="s">
        <v>748</v>
      </c>
      <c r="C37" s="656">
        <v>2016</v>
      </c>
      <c r="D37" s="660">
        <v>280.05</v>
      </c>
      <c r="E37" s="662"/>
      <c r="F37" s="660"/>
      <c r="G37" s="664">
        <v>280.05</v>
      </c>
      <c r="H37" s="450"/>
      <c r="I37" s="450"/>
    </row>
    <row r="38" spans="1:9" ht="15" customHeight="1">
      <c r="A38" s="449" t="s">
        <v>749</v>
      </c>
      <c r="B38" s="661" t="s">
        <v>136</v>
      </c>
      <c r="C38" s="656">
        <v>2017</v>
      </c>
      <c r="D38" s="653"/>
      <c r="E38" s="662"/>
      <c r="F38" s="660"/>
      <c r="G38" s="660"/>
      <c r="H38" s="450"/>
      <c r="I38" s="450"/>
    </row>
    <row r="39" spans="1:9" ht="15" customHeight="1">
      <c r="A39" s="449" t="s">
        <v>750</v>
      </c>
      <c r="B39" s="665" t="s">
        <v>688</v>
      </c>
      <c r="C39" s="666">
        <v>2017</v>
      </c>
      <c r="D39" s="653"/>
      <c r="E39" s="662"/>
      <c r="F39" s="660"/>
      <c r="G39" s="653"/>
      <c r="H39" s="450"/>
      <c r="I39" s="450"/>
    </row>
    <row r="40" spans="1:9" ht="15" customHeight="1">
      <c r="A40" s="449" t="s">
        <v>751</v>
      </c>
      <c r="B40" s="667" t="s">
        <v>512</v>
      </c>
      <c r="C40" s="666">
        <v>2018</v>
      </c>
      <c r="D40" s="653"/>
      <c r="E40" s="662"/>
      <c r="F40" s="660"/>
      <c r="G40" s="660"/>
      <c r="H40" s="450"/>
      <c r="I40" s="450"/>
    </row>
    <row r="41" spans="1:9" ht="15" customHeight="1">
      <c r="A41" s="449" t="s">
        <v>752</v>
      </c>
      <c r="B41" s="665" t="s">
        <v>131</v>
      </c>
      <c r="C41" s="666">
        <v>2018</v>
      </c>
      <c r="D41" s="653"/>
      <c r="E41" s="662"/>
      <c r="F41" s="660"/>
      <c r="G41" s="660"/>
      <c r="H41" s="450"/>
      <c r="I41" s="450"/>
    </row>
    <row r="42" spans="1:9" ht="15" customHeight="1">
      <c r="A42" s="663" t="s">
        <v>753</v>
      </c>
      <c r="B42" s="667" t="s">
        <v>133</v>
      </c>
      <c r="C42" s="666">
        <v>2019</v>
      </c>
      <c r="D42" s="450"/>
      <c r="E42" s="458"/>
      <c r="F42" s="452"/>
      <c r="G42" s="452"/>
      <c r="H42" s="450"/>
      <c r="I42" s="450"/>
    </row>
    <row r="43" spans="1:9" ht="15" customHeight="1">
      <c r="A43" s="663" t="s">
        <v>754</v>
      </c>
      <c r="B43" s="667" t="s">
        <v>135</v>
      </c>
      <c r="C43" s="666">
        <v>2019</v>
      </c>
      <c r="D43" s="450"/>
      <c r="E43" s="458"/>
      <c r="F43" s="452"/>
      <c r="G43" s="452"/>
      <c r="H43" s="450"/>
      <c r="I43" s="450"/>
    </row>
    <row r="44" spans="1:9" ht="15" customHeight="1">
      <c r="A44" s="449" t="s">
        <v>755</v>
      </c>
      <c r="B44" s="667" t="s">
        <v>137</v>
      </c>
      <c r="C44" s="666">
        <v>2019</v>
      </c>
      <c r="D44" s="450"/>
      <c r="E44" s="458"/>
      <c r="F44" s="452"/>
      <c r="G44" s="452"/>
      <c r="H44" s="450"/>
      <c r="I44" s="450"/>
    </row>
    <row r="45" spans="1:9" ht="15" customHeight="1">
      <c r="A45" s="449" t="s">
        <v>756</v>
      </c>
      <c r="B45" s="667" t="s">
        <v>139</v>
      </c>
      <c r="C45" s="666">
        <v>2019</v>
      </c>
      <c r="D45" s="450"/>
      <c r="E45" s="458"/>
      <c r="F45" s="452"/>
      <c r="G45" s="452"/>
      <c r="H45" s="450"/>
      <c r="I45" s="450"/>
    </row>
    <row r="46" spans="1:9" ht="15" customHeight="1">
      <c r="A46" s="449" t="s">
        <v>757</v>
      </c>
      <c r="B46" s="667" t="s">
        <v>141</v>
      </c>
      <c r="C46" s="666">
        <v>2019</v>
      </c>
      <c r="D46" s="450"/>
      <c r="E46" s="458"/>
      <c r="F46" s="452"/>
      <c r="G46" s="452"/>
      <c r="H46" s="450"/>
      <c r="I46" s="450"/>
    </row>
    <row r="47" spans="1:9" ht="15" customHeight="1">
      <c r="A47" s="449" t="s">
        <v>758</v>
      </c>
      <c r="B47" s="667" t="s">
        <v>143</v>
      </c>
      <c r="C47" s="666">
        <v>2019</v>
      </c>
      <c r="D47" s="450"/>
      <c r="E47" s="450"/>
      <c r="F47" s="450"/>
      <c r="G47" s="450"/>
      <c r="H47" s="450"/>
      <c r="I47" s="450"/>
    </row>
    <row r="48" spans="1:9" ht="15">
      <c r="A48" s="437">
        <v>3</v>
      </c>
      <c r="B48" s="895" t="s">
        <v>572</v>
      </c>
      <c r="C48" s="895"/>
      <c r="D48" s="895"/>
      <c r="E48" s="895"/>
      <c r="F48" s="895"/>
      <c r="G48" s="895"/>
      <c r="H48" s="895"/>
      <c r="I48" s="438"/>
    </row>
    <row r="49" spans="1:9" ht="30" customHeight="1">
      <c r="A49" s="437" t="s">
        <v>45</v>
      </c>
      <c r="B49" s="439" t="s">
        <v>304</v>
      </c>
      <c r="C49" s="436">
        <v>2003</v>
      </c>
      <c r="D49" s="441">
        <v>811.6666666666667</v>
      </c>
      <c r="E49" s="441">
        <v>1051.7</v>
      </c>
      <c r="F49" s="441"/>
      <c r="G49" s="446"/>
      <c r="H49" s="441"/>
      <c r="I49" s="438"/>
    </row>
    <row r="50" spans="1:9" ht="30">
      <c r="A50" s="437" t="s">
        <v>47</v>
      </c>
      <c r="B50" s="439" t="s">
        <v>305</v>
      </c>
      <c r="C50" s="436">
        <v>2004</v>
      </c>
      <c r="D50" s="441">
        <v>1217.5</v>
      </c>
      <c r="E50" s="441">
        <v>1318.4666666666667</v>
      </c>
      <c r="F50" s="441"/>
      <c r="G50" s="446"/>
      <c r="H50" s="441"/>
      <c r="I50" s="438"/>
    </row>
    <row r="51" spans="1:9" ht="15.75" customHeight="1">
      <c r="A51" s="437" t="s">
        <v>519</v>
      </c>
      <c r="B51" s="439" t="s">
        <v>306</v>
      </c>
      <c r="C51" s="436">
        <v>2007</v>
      </c>
      <c r="D51" s="441">
        <v>202.91666666666669</v>
      </c>
      <c r="E51" s="441">
        <v>134.9</v>
      </c>
      <c r="F51" s="441"/>
      <c r="G51" s="446"/>
      <c r="H51" s="441"/>
      <c r="I51" s="438"/>
    </row>
    <row r="52" spans="1:9" ht="15">
      <c r="A52" s="437" t="s">
        <v>520</v>
      </c>
      <c r="B52" s="439" t="s">
        <v>307</v>
      </c>
      <c r="C52" s="421">
        <v>2010</v>
      </c>
      <c r="D52" s="446">
        <v>405.83333333333337</v>
      </c>
      <c r="E52" s="446">
        <v>380.83333333333337</v>
      </c>
      <c r="F52" s="446"/>
      <c r="G52" s="446"/>
      <c r="H52" s="446"/>
      <c r="I52" s="438"/>
    </row>
    <row r="53" spans="1:9" ht="15">
      <c r="A53" s="437" t="s">
        <v>530</v>
      </c>
      <c r="B53" s="439" t="s">
        <v>308</v>
      </c>
      <c r="C53" s="421">
        <v>2011</v>
      </c>
      <c r="D53" s="446">
        <v>194.16666666666669</v>
      </c>
      <c r="E53" s="446">
        <v>194.16666666666669</v>
      </c>
      <c r="F53" s="446"/>
      <c r="G53" s="446"/>
      <c r="H53" s="446"/>
      <c r="I53" s="438"/>
    </row>
    <row r="54" spans="1:9" ht="15">
      <c r="A54" s="437" t="s">
        <v>531</v>
      </c>
      <c r="B54" s="439" t="s">
        <v>309</v>
      </c>
      <c r="C54" s="421">
        <v>2013</v>
      </c>
      <c r="D54" s="446">
        <v>208.04166666666669</v>
      </c>
      <c r="E54" s="446">
        <v>208.04166666666669</v>
      </c>
      <c r="F54" s="446"/>
      <c r="G54" s="446"/>
      <c r="H54" s="446"/>
      <c r="I54" s="438"/>
    </row>
    <row r="55" spans="1:9" ht="15">
      <c r="A55" s="437" t="s">
        <v>532</v>
      </c>
      <c r="B55" s="447" t="s">
        <v>95</v>
      </c>
      <c r="C55" s="421">
        <v>2015</v>
      </c>
      <c r="D55" s="446">
        <v>350</v>
      </c>
      <c r="E55" s="446">
        <v>350</v>
      </c>
      <c r="F55" s="446"/>
      <c r="G55" s="446"/>
      <c r="H55" s="446"/>
      <c r="I55" s="438"/>
    </row>
    <row r="56" spans="1:9" ht="15">
      <c r="A56" s="459" t="s">
        <v>533</v>
      </c>
      <c r="B56" s="422" t="s">
        <v>708</v>
      </c>
      <c r="C56" s="421">
        <v>2016</v>
      </c>
      <c r="D56" s="446">
        <v>1560</v>
      </c>
      <c r="E56" s="446"/>
      <c r="F56" s="446"/>
      <c r="G56" s="446">
        <v>1560</v>
      </c>
      <c r="H56" s="446"/>
      <c r="I56" s="438"/>
    </row>
    <row r="57" spans="1:9" ht="30">
      <c r="A57" s="437" t="s">
        <v>310</v>
      </c>
      <c r="B57" s="447" t="s">
        <v>709</v>
      </c>
      <c r="C57" s="421">
        <v>2017</v>
      </c>
      <c r="D57" s="446">
        <v>3120</v>
      </c>
      <c r="E57" s="446"/>
      <c r="F57" s="446"/>
      <c r="G57" s="446"/>
      <c r="H57" s="446">
        <v>3120</v>
      </c>
      <c r="I57" s="438"/>
    </row>
    <row r="58" spans="1:9" ht="15">
      <c r="A58" s="437" t="s">
        <v>96</v>
      </c>
      <c r="B58" s="447" t="s">
        <v>697</v>
      </c>
      <c r="C58" s="421">
        <v>2018</v>
      </c>
      <c r="D58" s="446">
        <v>780</v>
      </c>
      <c r="E58" s="446"/>
      <c r="F58" s="446"/>
      <c r="G58" s="446"/>
      <c r="H58" s="446">
        <v>780</v>
      </c>
      <c r="I58" s="438"/>
    </row>
    <row r="59" spans="1:9" ht="14.25">
      <c r="A59" s="460" t="s">
        <v>66</v>
      </c>
      <c r="B59" s="896" t="s">
        <v>573</v>
      </c>
      <c r="C59" s="897"/>
      <c r="D59" s="897"/>
      <c r="E59" s="897"/>
      <c r="F59" s="897"/>
      <c r="G59" s="897"/>
      <c r="H59" s="898"/>
      <c r="I59" s="438"/>
    </row>
    <row r="60" spans="1:9" ht="15">
      <c r="A60" s="461"/>
      <c r="B60" s="462"/>
      <c r="C60" s="463"/>
      <c r="D60" s="464"/>
      <c r="E60" s="464"/>
      <c r="F60" s="464"/>
      <c r="G60" s="465"/>
      <c r="H60" s="464"/>
      <c r="I60" s="438"/>
    </row>
    <row r="61" spans="1:9" ht="15">
      <c r="A61" s="899" t="s">
        <v>525</v>
      </c>
      <c r="B61" s="899"/>
      <c r="C61" s="425"/>
      <c r="D61" s="457">
        <f>SUM(D5:D58)</f>
        <v>41276.43833333334</v>
      </c>
      <c r="E61" s="457">
        <f>SUM(E5:E58)</f>
        <v>20872.478333333336</v>
      </c>
      <c r="F61" s="457">
        <f>SUM(F5:F58)</f>
        <v>504.7</v>
      </c>
      <c r="G61" s="466">
        <f>SUM(G5:G58)</f>
        <v>2680.21</v>
      </c>
      <c r="H61" s="457">
        <f>SUM(H5:H58)</f>
        <v>17058.20333333333</v>
      </c>
      <c r="I61" s="438"/>
    </row>
    <row r="62" spans="1:9" ht="12.75">
      <c r="A62" s="428"/>
      <c r="B62" s="423"/>
      <c r="C62" s="423"/>
      <c r="D62" s="423"/>
      <c r="E62" s="423"/>
      <c r="F62" s="423"/>
      <c r="G62" s="429"/>
      <c r="H62" s="423"/>
      <c r="I62" s="423"/>
    </row>
    <row r="63" spans="1:9" ht="15">
      <c r="A63" s="428"/>
      <c r="B63" s="126" t="s">
        <v>97</v>
      </c>
      <c r="C63" s="126"/>
      <c r="D63" s="125"/>
      <c r="E63" s="127" t="s">
        <v>419</v>
      </c>
      <c r="F63" s="125"/>
      <c r="G63" s="431" t="s">
        <v>98</v>
      </c>
      <c r="H63" s="125"/>
      <c r="I63" s="467"/>
    </row>
    <row r="64" spans="1:9" ht="15">
      <c r="A64" s="428"/>
      <c r="B64" s="129"/>
      <c r="C64" s="129"/>
      <c r="D64" s="125"/>
      <c r="E64" s="127" t="s">
        <v>420</v>
      </c>
      <c r="F64" s="125"/>
      <c r="G64" s="432" t="s">
        <v>521</v>
      </c>
      <c r="H64" s="125"/>
      <c r="I64" s="468"/>
    </row>
    <row r="65" spans="1:9" ht="15" outlineLevel="1">
      <c r="A65" s="428"/>
      <c r="B65" s="129"/>
      <c r="C65" s="129"/>
      <c r="D65" s="125"/>
      <c r="E65" s="127"/>
      <c r="F65" s="125"/>
      <c r="G65" s="432"/>
      <c r="H65" s="125"/>
      <c r="I65" s="468"/>
    </row>
    <row r="66" spans="1:9" ht="15" outlineLevel="1">
      <c r="A66" s="428"/>
      <c r="B66" s="126" t="s">
        <v>154</v>
      </c>
      <c r="C66" s="126"/>
      <c r="D66" s="125"/>
      <c r="E66" s="127" t="s">
        <v>419</v>
      </c>
      <c r="F66" s="125"/>
      <c r="G66" s="431" t="s">
        <v>153</v>
      </c>
      <c r="H66" s="125"/>
      <c r="I66" s="468"/>
    </row>
    <row r="67" spans="1:9" ht="15" outlineLevel="1">
      <c r="A67" s="428"/>
      <c r="B67" s="129"/>
      <c r="C67" s="129"/>
      <c r="D67" s="125"/>
      <c r="E67" s="127" t="s">
        <v>420</v>
      </c>
      <c r="F67" s="125"/>
      <c r="G67" s="432" t="s">
        <v>521</v>
      </c>
      <c r="H67" s="125"/>
      <c r="I67" s="468"/>
    </row>
    <row r="68" spans="1:9" ht="15">
      <c r="A68" s="428"/>
      <c r="B68" s="856" t="s">
        <v>421</v>
      </c>
      <c r="C68" s="856"/>
      <c r="D68" s="856"/>
      <c r="E68" s="856"/>
      <c r="F68" s="125"/>
      <c r="G68" s="430"/>
      <c r="H68" s="125"/>
      <c r="I68" s="469"/>
    </row>
    <row r="69" spans="1:9" ht="15">
      <c r="A69" s="428"/>
      <c r="B69" s="424" t="s">
        <v>522</v>
      </c>
      <c r="C69" s="131"/>
      <c r="D69" s="125" t="s">
        <v>545</v>
      </c>
      <c r="E69" s="125"/>
      <c r="F69" s="125"/>
      <c r="G69" s="430"/>
      <c r="H69" s="125"/>
      <c r="I69" s="469"/>
    </row>
    <row r="70" spans="1:9" ht="14.25">
      <c r="A70" s="403"/>
      <c r="B70" s="36"/>
      <c r="C70" s="36"/>
      <c r="D70" s="36"/>
      <c r="E70" s="36"/>
      <c r="F70" s="36"/>
      <c r="G70" s="405"/>
      <c r="H70" s="36"/>
      <c r="I70" s="401"/>
    </row>
    <row r="71" spans="1:9" ht="15" hidden="1">
      <c r="A71" s="403"/>
      <c r="B71" s="34" t="s">
        <v>454</v>
      </c>
      <c r="C71" s="36"/>
      <c r="D71" s="36"/>
      <c r="E71" s="38" t="s">
        <v>419</v>
      </c>
      <c r="F71" s="36"/>
      <c r="G71" s="418" t="s">
        <v>455</v>
      </c>
      <c r="H71" s="36"/>
      <c r="I71" s="401"/>
    </row>
    <row r="72" spans="1:9" ht="14.25" hidden="1">
      <c r="A72" s="403"/>
      <c r="B72" s="36"/>
      <c r="C72" s="36"/>
      <c r="D72" s="36"/>
      <c r="E72" s="38" t="s">
        <v>420</v>
      </c>
      <c r="F72" s="36"/>
      <c r="G72" s="417" t="s">
        <v>521</v>
      </c>
      <c r="H72" s="36"/>
      <c r="I72" s="401"/>
    </row>
    <row r="73" spans="1:9" ht="14.25" hidden="1">
      <c r="A73" s="403"/>
      <c r="B73" s="36"/>
      <c r="C73" s="36"/>
      <c r="D73" s="36"/>
      <c r="E73" s="36"/>
      <c r="F73" s="36"/>
      <c r="G73" s="405"/>
      <c r="H73" s="36"/>
      <c r="I73" s="401"/>
    </row>
    <row r="74" spans="1:9" ht="14.25" hidden="1">
      <c r="A74" s="403"/>
      <c r="B74" s="847" t="s">
        <v>421</v>
      </c>
      <c r="C74" s="847"/>
      <c r="D74" s="847"/>
      <c r="E74" s="847"/>
      <c r="F74" s="36"/>
      <c r="G74" s="405"/>
      <c r="H74" s="36"/>
      <c r="I74" s="401"/>
    </row>
    <row r="75" spans="1:9" ht="14.25" hidden="1">
      <c r="A75" s="403"/>
      <c r="B75" s="36"/>
      <c r="C75" s="36"/>
      <c r="D75" s="36"/>
      <c r="E75" s="36"/>
      <c r="F75" s="36"/>
      <c r="G75" s="405"/>
      <c r="H75" s="36"/>
      <c r="I75" s="401"/>
    </row>
    <row r="76" spans="1:9" ht="14.25">
      <c r="A76" s="403"/>
      <c r="B76" s="36"/>
      <c r="C76" s="36"/>
      <c r="D76" s="36"/>
      <c r="E76" s="36"/>
      <c r="F76" s="36"/>
      <c r="G76" s="405"/>
      <c r="H76" s="36"/>
      <c r="I76" s="401"/>
    </row>
    <row r="77" spans="1:9" ht="12.75">
      <c r="A77" s="403"/>
      <c r="B77" s="401"/>
      <c r="C77" s="401"/>
      <c r="D77" s="401"/>
      <c r="E77" s="401"/>
      <c r="F77" s="401"/>
      <c r="G77" s="404"/>
      <c r="H77" s="401"/>
      <c r="I77" s="401"/>
    </row>
    <row r="78" spans="1:9" ht="12.75">
      <c r="A78" s="403"/>
      <c r="B78" s="401"/>
      <c r="C78" s="401"/>
      <c r="D78" s="401"/>
      <c r="E78" s="401"/>
      <c r="F78" s="401"/>
      <c r="G78" s="404"/>
      <c r="H78" s="401"/>
      <c r="I78" s="401"/>
    </row>
  </sheetData>
  <sheetProtection/>
  <mergeCells count="8">
    <mergeCell ref="B68:E68"/>
    <mergeCell ref="B74:E74"/>
    <mergeCell ref="A1:I1"/>
    <mergeCell ref="B4:H4"/>
    <mergeCell ref="B17:H17"/>
    <mergeCell ref="B48:H48"/>
    <mergeCell ref="B59:H59"/>
    <mergeCell ref="A61:B61"/>
  </mergeCells>
  <printOptions/>
  <pageMargins left="0.9448818897637796" right="0.31496062992125984" top="0.7874015748031497" bottom="0.2362204724409449" header="0.35433070866141736" footer="0.1968503937007874"/>
  <pageSetup fitToHeight="2" horizontalDpi="600" verticalDpi="600" orientation="landscape" paperSize="9" scale="67" r:id="rId1"/>
  <rowBreaks count="2" manualBreakCount="2">
    <brk id="21" max="255" man="1"/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KULINICH</dc:creator>
  <cp:keywords/>
  <dc:description/>
  <cp:lastModifiedBy>Кузюра Марина Вікторівна</cp:lastModifiedBy>
  <cp:lastPrinted>2016-01-12T07:36:28Z</cp:lastPrinted>
  <dcterms:created xsi:type="dcterms:W3CDTF">2003-02-20T10:09:41Z</dcterms:created>
  <dcterms:modified xsi:type="dcterms:W3CDTF">2016-01-21T09:16:43Z</dcterms:modified>
  <cp:category/>
  <cp:version/>
  <cp:contentType/>
  <cp:contentStatus/>
</cp:coreProperties>
</file>